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Annual Reports\2022 Annual Reports\"/>
    </mc:Choice>
  </mc:AlternateContent>
  <bookViews>
    <workbookView xWindow="4035" yWindow="2160" windowWidth="19200" windowHeight="11820"/>
  </bookViews>
  <sheets>
    <sheet name="2022 Annual Report" sheetId="1" r:id="rId1"/>
    <sheet name="2022 Satellite(s)" sheetId="2" r:id="rId2"/>
  </sheets>
  <definedNames>
    <definedName name="_xlnm._FilterDatabase" localSheetId="0" hidden="1">'2022 Annual Report'!$A$1:$CE$442</definedName>
    <definedName name="_xlnm._FilterDatabase" localSheetId="1" hidden="1">'2022 Satellite(s)'!$A$1:$CE$127</definedName>
    <definedName name="Attrition">OFFSET('2022 Annual Report'!$A$49,0,0,28,'2022 Annual Report'!$S$16)</definedName>
    <definedName name="Cover">OFFSET('2022 Annual Report'!$A$1,0,0,47,'2022 Annual Report'!$S$15)</definedName>
    <definedName name="Dollar">'2022 Annual Report'!#REF!</definedName>
    <definedName name="Employer">OFFSET('2022 Annual Report'!$A$162,0,0,36,'2022 Annual Report'!$S$20)</definedName>
    <definedName name="Graduate">OFFSET('2022 Annual Report'!$A$125,0,0,35,'2022 Annual Report'!$S$19)</definedName>
    <definedName name="Last">OFFSET('2022 Annual Report'!$A$285,0,0,157,'2022 Annual Report'!$S$24)</definedName>
    <definedName name="Placement">OFFSET('2022 Annual Report'!$A$104,0,0,20,'2022 Annual Report'!$S$18)</definedName>
    <definedName name="_xlnm.Print_Area" localSheetId="0">Cover,Attrition,Written,Placement,Graduate,Employer,RAMCover,Last</definedName>
    <definedName name="_xlnm.Print_Area" localSheetId="1">'2022 Satellite(s)'!$A$1:$N$34,'2022 Satellite(s)'!$T$38:$AC$38,'2022 Satellite(s)'!$A$57:$N$125</definedName>
    <definedName name="RAMCover">OFFSET('2022 Annual Report'!$A$200,0,0,48,'2022 Annual Report'!$S$15)</definedName>
    <definedName name="Sat_Cohort" localSheetId="1">'2022 Satellite(s)'!$T$38:$AC$38</definedName>
    <definedName name="SATAttrition" localSheetId="1">OFFSET('2022 Satellite(s)'!$A$57,0,0,29,'2022 Satellite(s)'!$S$17)</definedName>
    <definedName name="SATCover" localSheetId="1">OFFSET('2022 Satellite(s)'!$A$1,0,0,34,'2022 Satellite(s)'!$S$16)</definedName>
    <definedName name="SATPlacement" localSheetId="1">OFFSET('2022 Satellite(s)'!$A$106,0,0,20,'2022 Satellite(s)'!$S$19)</definedName>
    <definedName name="SATWritten" localSheetId="1">OFFSET('2022 Satellite(s)'!$A$85,0,0,22,'2022 Satellite(s)'!$S$18)</definedName>
    <definedName name="Written">OFFSET('2022 Annual Report'!$A$79,0,0,22,'2022 Annual Report'!$S$17)</definedName>
    <definedName name="Z_993DF57F_A792_4998_A444_891BBBD74251_.wvu.PrintArea" localSheetId="0" hidden="1">'2022 Annual Report'!$A$1:$N$75,'2022 Annual Report'!$A$78:$CE$123</definedName>
    <definedName name="Z_993DF57F_A792_4998_A444_891BBBD74251_.wvu.PrintArea" localSheetId="1" hidden="1">'2022 Satellite(s)'!$A$1:$N$82,'2022 Satellite(s)'!$A$85:$CE$125</definedName>
  </definedNames>
  <calcPr calcId="162913"/>
  <customWorkbookViews>
    <customWorkbookView name="Print1" guid="{993DF57F-A792-4998-A444-891BBBD74251}" includeHiddenRowCol="0" maximized="1" windowWidth="1916" windowHeight="8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 l="1"/>
  <c r="C24" i="2" s="1"/>
  <c r="C25" i="1"/>
  <c r="C37" i="1"/>
  <c r="B54" i="1" l="1"/>
  <c r="P81" i="1" l="1"/>
  <c r="B328" i="1"/>
  <c r="P426" i="1"/>
  <c r="P428" i="1"/>
  <c r="O428" i="1" s="1"/>
  <c r="P404" i="1"/>
  <c r="C428" i="1"/>
  <c r="P419" i="1"/>
  <c r="P417" i="1"/>
  <c r="P415" i="1"/>
  <c r="P413" i="1"/>
  <c r="P411" i="1"/>
  <c r="P409" i="1"/>
  <c r="I409" i="1" l="1"/>
  <c r="P406" i="1"/>
  <c r="O406" i="1" s="1"/>
  <c r="O404" i="1"/>
  <c r="P402" i="1"/>
  <c r="O402" i="1" s="1"/>
  <c r="P400" i="1"/>
  <c r="O400" i="1" s="1"/>
  <c r="P395" i="1"/>
  <c r="O395" i="1" s="1"/>
  <c r="P393" i="1"/>
  <c r="O393" i="1" s="1"/>
  <c r="P391" i="1"/>
  <c r="O391" i="1" s="1"/>
  <c r="P389" i="1"/>
  <c r="O389" i="1" s="1"/>
  <c r="P385" i="1"/>
  <c r="O385" i="1" s="1"/>
  <c r="P383" i="1"/>
  <c r="O383" i="1" s="1"/>
  <c r="P381" i="1"/>
  <c r="O381" i="1" s="1"/>
  <c r="P379" i="1"/>
  <c r="O379" i="1" s="1"/>
  <c r="P377" i="1"/>
  <c r="O377" i="1" s="1"/>
  <c r="P375" i="1"/>
  <c r="O375" i="1" s="1"/>
  <c r="P373" i="1"/>
  <c r="O373" i="1" s="1"/>
  <c r="G386" i="1"/>
  <c r="I386" i="1" s="1"/>
  <c r="P369" i="1"/>
  <c r="O369" i="1" s="1"/>
  <c r="P367" i="1"/>
  <c r="P386" i="1" l="1"/>
  <c r="O386" i="1" s="1"/>
  <c r="C339" i="1"/>
  <c r="P351" i="1"/>
  <c r="P355" i="1"/>
  <c r="P353" i="1"/>
  <c r="C360" i="1" l="1"/>
  <c r="P345" i="1"/>
  <c r="C362" i="1"/>
  <c r="P360" i="1"/>
  <c r="P362" i="1"/>
  <c r="O362" i="1" s="1"/>
  <c r="C349" i="1"/>
  <c r="D353" i="1"/>
  <c r="D351" i="1"/>
  <c r="D355" i="1"/>
  <c r="P349" i="1"/>
  <c r="O349" i="1" s="1"/>
  <c r="P334" i="1" l="1"/>
  <c r="O334" i="1" s="1"/>
  <c r="P332" i="1"/>
  <c r="O332" i="1" s="1"/>
  <c r="P308" i="1"/>
  <c r="H341" i="1"/>
  <c r="G335" i="1"/>
  <c r="I335" i="1" s="1"/>
  <c r="P335" i="1" l="1"/>
  <c r="O335" i="1" s="1"/>
  <c r="D340" i="1"/>
  <c r="G347" i="1"/>
  <c r="I347" i="1" s="1"/>
  <c r="H347" i="1"/>
  <c r="P341" i="1"/>
  <c r="O341" i="1" s="1"/>
  <c r="P343" i="1"/>
  <c r="O343" i="1" s="1"/>
  <c r="O345" i="1"/>
  <c r="D343" i="1"/>
  <c r="H343" i="1"/>
  <c r="D345" i="1"/>
  <c r="H345" i="1"/>
  <c r="D341" i="1"/>
  <c r="P228" i="1"/>
  <c r="P347" i="1" l="1"/>
  <c r="O347" i="1" s="1"/>
  <c r="B87" i="1"/>
  <c r="C439" i="1"/>
  <c r="I37" i="1"/>
  <c r="P75" i="2"/>
  <c r="P74" i="2"/>
  <c r="P73" i="2"/>
  <c r="P70" i="2"/>
  <c r="P69" i="2"/>
  <c r="P68" i="2"/>
  <c r="I290" i="1" l="1"/>
  <c r="G56" i="1" l="1"/>
  <c r="F56" i="1"/>
  <c r="E56" i="1"/>
  <c r="C46" i="1"/>
  <c r="C29" i="2" s="1"/>
  <c r="C39" i="1"/>
  <c r="C44" i="1"/>
  <c r="J210" i="1"/>
  <c r="C308" i="1"/>
  <c r="C306" i="1"/>
  <c r="C290" i="1"/>
  <c r="J208" i="1"/>
  <c r="C27" i="2" l="1"/>
  <c r="G27" i="2"/>
  <c r="G29" i="2"/>
  <c r="O367" i="1" l="1"/>
  <c r="O360" i="1"/>
  <c r="O228" i="1"/>
  <c r="P208" i="1"/>
  <c r="C227" i="1" l="1"/>
  <c r="C210" i="1" l="1"/>
  <c r="O216" i="1"/>
  <c r="O215" i="1" s="1"/>
  <c r="P212" i="1"/>
  <c r="O212" i="1" s="1"/>
  <c r="P210" i="1"/>
  <c r="O224" i="1"/>
  <c r="O223" i="1" s="1"/>
  <c r="O222" i="1"/>
  <c r="O221" i="1" s="1"/>
  <c r="O220" i="1"/>
  <c r="O219" i="1" s="1"/>
  <c r="O218" i="1"/>
  <c r="O217" i="1" s="1"/>
  <c r="H216" i="1"/>
  <c r="I223" i="1"/>
  <c r="I221" i="1"/>
  <c r="I219" i="1"/>
  <c r="I217" i="1"/>
  <c r="H220" i="1"/>
  <c r="H219" i="1" s="1"/>
  <c r="H222" i="1"/>
  <c r="H221" i="1" s="1"/>
  <c r="H224" i="1"/>
  <c r="H223" i="1" s="1"/>
  <c r="I215" i="1"/>
  <c r="H218" i="1"/>
  <c r="H217" i="1" s="1"/>
  <c r="C223" i="1"/>
  <c r="C221" i="1"/>
  <c r="C219" i="1"/>
  <c r="C217" i="1"/>
  <c r="C212" i="1"/>
  <c r="C208" i="1" l="1"/>
  <c r="P44" i="1" l="1"/>
  <c r="O85" i="1" l="1"/>
  <c r="N84" i="1"/>
  <c r="O84" i="1" s="1"/>
  <c r="L56" i="1" l="1"/>
  <c r="K56" i="1"/>
  <c r="J56" i="1"/>
  <c r="I56" i="1"/>
  <c r="H56" i="1"/>
  <c r="C292" i="1" l="1"/>
  <c r="P290" i="1"/>
  <c r="P294" i="1"/>
  <c r="P296" i="1"/>
  <c r="O296" i="1" l="1"/>
  <c r="O294" i="1"/>
  <c r="G88" i="1" l="1"/>
  <c r="H111" i="1"/>
  <c r="E111" i="1"/>
  <c r="E92" i="2"/>
  <c r="F92" i="2"/>
  <c r="E91" i="2"/>
  <c r="F91" i="2"/>
  <c r="P37" i="1"/>
  <c r="H88" i="1" l="1"/>
  <c r="G111" i="1"/>
  <c r="E88" i="1"/>
  <c r="C358" i="1"/>
  <c r="O325" i="1"/>
  <c r="P359" i="1" l="1"/>
  <c r="O359" i="1" s="1"/>
  <c r="P358" i="1"/>
  <c r="O358" i="1" s="1"/>
  <c r="C359" i="1"/>
  <c r="C319" i="1"/>
  <c r="O323" i="1" l="1"/>
  <c r="G327" i="1"/>
  <c r="C311" i="1"/>
  <c r="I327" i="1" l="1"/>
  <c r="P327" i="1" l="1"/>
  <c r="O327" i="1" s="1"/>
  <c r="M56" i="1"/>
  <c r="B169" i="1" l="1"/>
  <c r="M63" i="2" l="1"/>
  <c r="L63" i="2"/>
  <c r="K63" i="2"/>
  <c r="J63" i="2"/>
  <c r="I63" i="2"/>
  <c r="H63" i="2"/>
  <c r="G63" i="2"/>
  <c r="F63" i="2"/>
  <c r="E63" i="2"/>
  <c r="C426" i="1" l="1"/>
  <c r="G113" i="2" l="1"/>
  <c r="F113" i="2"/>
  <c r="E113" i="2"/>
  <c r="M113" i="2"/>
  <c r="L113" i="2"/>
  <c r="K113" i="2"/>
  <c r="J113" i="2"/>
  <c r="I113" i="2"/>
  <c r="H113" i="2"/>
  <c r="H90" i="2" l="1"/>
  <c r="G90" i="2"/>
  <c r="K90" i="2"/>
  <c r="L90" i="2"/>
  <c r="J90" i="2"/>
  <c r="E90" i="2"/>
  <c r="F90" i="2"/>
  <c r="I90" i="2"/>
  <c r="M90" i="2"/>
  <c r="O70" i="2" l="1"/>
  <c r="O68" i="2"/>
  <c r="B81" i="1" l="1"/>
  <c r="F76" i="2"/>
  <c r="D24" i="2" l="1"/>
  <c r="P46" i="1"/>
  <c r="P39" i="1"/>
  <c r="P31" i="2" l="1"/>
  <c r="M111" i="1"/>
  <c r="M88" i="1"/>
  <c r="O46" i="1"/>
  <c r="D4" i="2"/>
  <c r="B62" i="2" s="1"/>
  <c r="H21" i="2"/>
  <c r="D21" i="2"/>
  <c r="D19" i="2"/>
  <c r="D17" i="2"/>
  <c r="O120" i="2"/>
  <c r="N118" i="2"/>
  <c r="N117" i="2"/>
  <c r="M115" i="1" s="1"/>
  <c r="M115" i="2"/>
  <c r="L115" i="2"/>
  <c r="K115" i="2"/>
  <c r="J115" i="2"/>
  <c r="I115" i="2"/>
  <c r="H115" i="2"/>
  <c r="G115" i="2"/>
  <c r="F115" i="2"/>
  <c r="E115" i="2"/>
  <c r="M114" i="2"/>
  <c r="L114" i="2"/>
  <c r="K114" i="2"/>
  <c r="J114" i="2"/>
  <c r="I114" i="2"/>
  <c r="H114" i="2"/>
  <c r="G114" i="2"/>
  <c r="F114" i="2"/>
  <c r="E114" i="2"/>
  <c r="N96" i="2"/>
  <c r="M94" i="1" s="1"/>
  <c r="N95" i="2"/>
  <c r="M93" i="1" s="1"/>
  <c r="N94" i="2"/>
  <c r="M92" i="1" s="1"/>
  <c r="M92" i="2"/>
  <c r="L92" i="2"/>
  <c r="K92" i="2"/>
  <c r="J92" i="2"/>
  <c r="I92" i="2"/>
  <c r="H92" i="2"/>
  <c r="G92" i="2"/>
  <c r="M91" i="2"/>
  <c r="L91" i="2"/>
  <c r="K91" i="2"/>
  <c r="J91" i="2"/>
  <c r="I91" i="2"/>
  <c r="H91" i="2"/>
  <c r="G91" i="2"/>
  <c r="M76" i="2"/>
  <c r="L76" i="2"/>
  <c r="K76" i="2"/>
  <c r="J76" i="2"/>
  <c r="I76" i="2"/>
  <c r="H76" i="2"/>
  <c r="G76" i="2"/>
  <c r="E76" i="2"/>
  <c r="O75" i="2"/>
  <c r="N75" i="2"/>
  <c r="M68" i="1" s="1"/>
  <c r="O74" i="2"/>
  <c r="N74" i="2"/>
  <c r="M67" i="1" s="1"/>
  <c r="O73" i="2"/>
  <c r="N73" i="2"/>
  <c r="M66" i="1" s="1"/>
  <c r="M71" i="2"/>
  <c r="L71" i="2"/>
  <c r="K71" i="2"/>
  <c r="J71" i="2"/>
  <c r="I71" i="2"/>
  <c r="H71" i="2"/>
  <c r="G71" i="2"/>
  <c r="F71" i="2"/>
  <c r="E71" i="2"/>
  <c r="N70" i="2"/>
  <c r="M63" i="1" s="1"/>
  <c r="O69" i="2"/>
  <c r="N69" i="2"/>
  <c r="M62" i="1" s="1"/>
  <c r="N68" i="2"/>
  <c r="M61" i="1" s="1"/>
  <c r="N66" i="2"/>
  <c r="M59" i="1" s="1"/>
  <c r="B57" i="2" l="1"/>
  <c r="B89" i="2"/>
  <c r="P66" i="1"/>
  <c r="C31" i="2"/>
  <c r="L53" i="2"/>
  <c r="L46" i="2"/>
  <c r="L49" i="2"/>
  <c r="L51" i="2"/>
  <c r="L40" i="2"/>
  <c r="L48" i="2"/>
  <c r="L50" i="2"/>
  <c r="L43" i="2"/>
  <c r="L47" i="2"/>
  <c r="P53" i="2"/>
  <c r="O53" i="2" s="1"/>
  <c r="P45" i="2"/>
  <c r="O45" i="2" s="1"/>
  <c r="C34" i="2"/>
  <c r="P43" i="2"/>
  <c r="O43" i="2" s="1"/>
  <c r="P50" i="2"/>
  <c r="O50" i="2" s="1"/>
  <c r="P42" i="2"/>
  <c r="O42" i="2" s="1"/>
  <c r="P49" i="2"/>
  <c r="O49" i="2" s="1"/>
  <c r="P41" i="2"/>
  <c r="O41" i="2" s="1"/>
  <c r="P40" i="2"/>
  <c r="O40" i="2" s="1"/>
  <c r="P39" i="2"/>
  <c r="O39" i="2" s="1"/>
  <c r="P46" i="2"/>
  <c r="O46" i="2" s="1"/>
  <c r="P52" i="2"/>
  <c r="O52" i="2" s="1"/>
  <c r="P44" i="2"/>
  <c r="O44" i="2" s="1"/>
  <c r="P51" i="2"/>
  <c r="O51" i="2" s="1"/>
  <c r="C37" i="2"/>
  <c r="P47" i="2"/>
  <c r="O47" i="2" s="1"/>
  <c r="P48" i="2"/>
  <c r="O48" i="2" s="1"/>
  <c r="H53" i="2"/>
  <c r="H45" i="2"/>
  <c r="H51" i="2"/>
  <c r="H43" i="2"/>
  <c r="H50" i="2"/>
  <c r="H49" i="2"/>
  <c r="H48" i="2"/>
  <c r="H47" i="2"/>
  <c r="H46" i="2"/>
  <c r="H52" i="2"/>
  <c r="H44" i="2"/>
  <c r="H42" i="2"/>
  <c r="H41" i="2"/>
  <c r="H40" i="2"/>
  <c r="H39" i="2"/>
  <c r="L44" i="2"/>
  <c r="L52" i="2"/>
  <c r="L45" i="2"/>
  <c r="K34" i="2"/>
  <c r="C36" i="2"/>
  <c r="L39" i="2"/>
  <c r="L41" i="2"/>
  <c r="L42" i="2"/>
  <c r="C15" i="2"/>
  <c r="M116" i="1"/>
  <c r="P61" i="1"/>
  <c r="O61" i="1" s="1"/>
  <c r="B97" i="2"/>
  <c r="B78" i="2"/>
  <c r="B119" i="2"/>
  <c r="B77" i="2"/>
  <c r="E77" i="2"/>
  <c r="M77" i="2"/>
  <c r="S16" i="2"/>
  <c r="H79" i="2"/>
  <c r="I77" i="2"/>
  <c r="C86" i="2"/>
  <c r="C58" i="2"/>
  <c r="D86" i="2"/>
  <c r="D58" i="2"/>
  <c r="N119" i="2"/>
  <c r="D107" i="2"/>
  <c r="G77" i="2"/>
  <c r="C107" i="2"/>
  <c r="J77" i="2"/>
  <c r="H78" i="2"/>
  <c r="N71" i="2"/>
  <c r="F77" i="2"/>
  <c r="G78" i="2"/>
  <c r="M79" i="2"/>
  <c r="K79" i="2"/>
  <c r="K77" i="2"/>
  <c r="N76" i="2"/>
  <c r="M78" i="2"/>
  <c r="E79" i="2"/>
  <c r="H77" i="2"/>
  <c r="G79" i="2"/>
  <c r="L77" i="2"/>
  <c r="F78" i="2"/>
  <c r="F79" i="2"/>
  <c r="I79" i="2"/>
  <c r="I78" i="2"/>
  <c r="J79" i="2"/>
  <c r="J78" i="2"/>
  <c r="E78" i="2"/>
  <c r="L78" i="2"/>
  <c r="L79" i="2"/>
  <c r="K78" i="2"/>
  <c r="C440" i="1"/>
  <c r="P64" i="2" l="1"/>
  <c r="O64" i="2" s="1"/>
  <c r="O31" i="2"/>
  <c r="J38" i="2"/>
  <c r="I38" i="2"/>
  <c r="H38" i="2"/>
  <c r="P65" i="2"/>
  <c r="O65" i="2" s="1"/>
  <c r="P63" i="2"/>
  <c r="G116" i="2"/>
  <c r="G119" i="2" s="1"/>
  <c r="H80" i="2"/>
  <c r="C38" i="2"/>
  <c r="F38" i="2"/>
  <c r="H116" i="2"/>
  <c r="H120" i="2" s="1"/>
  <c r="H93" i="2"/>
  <c r="H98" i="2" s="1"/>
  <c r="G80" i="2"/>
  <c r="G93" i="2"/>
  <c r="G97" i="2" s="1"/>
  <c r="M80" i="2"/>
  <c r="N77" i="2"/>
  <c r="M116" i="2"/>
  <c r="M120" i="2" s="1"/>
  <c r="M93" i="2"/>
  <c r="M97" i="2" s="1"/>
  <c r="E93" i="2"/>
  <c r="E116" i="2"/>
  <c r="E80" i="2"/>
  <c r="N78" i="2"/>
  <c r="N80" i="2" s="1"/>
  <c r="F93" i="2"/>
  <c r="F116" i="2"/>
  <c r="F80" i="2"/>
  <c r="L93" i="2"/>
  <c r="L116" i="2"/>
  <c r="L80" i="2"/>
  <c r="J80" i="2"/>
  <c r="J93" i="2"/>
  <c r="J116" i="2"/>
  <c r="I80" i="2"/>
  <c r="I93" i="2"/>
  <c r="I116" i="2"/>
  <c r="K80" i="2"/>
  <c r="K93" i="2"/>
  <c r="K116" i="2"/>
  <c r="B71" i="1"/>
  <c r="B70" i="1"/>
  <c r="B95" i="1"/>
  <c r="B8" i="1"/>
  <c r="B8" i="2" s="1"/>
  <c r="P34" i="2" l="1"/>
  <c r="B82" i="2" s="1"/>
  <c r="O63" i="2"/>
  <c r="P118" i="2"/>
  <c r="O118" i="2" s="1"/>
  <c r="P117" i="2"/>
  <c r="O117" i="2" s="1"/>
  <c r="P94" i="2"/>
  <c r="O94" i="2" s="1"/>
  <c r="P96" i="2"/>
  <c r="O96" i="2" s="1"/>
  <c r="P95" i="2"/>
  <c r="O95" i="2" s="1"/>
  <c r="G120" i="2"/>
  <c r="M98" i="2"/>
  <c r="S17" i="2"/>
  <c r="M119" i="2"/>
  <c r="H119" i="2"/>
  <c r="H97" i="2"/>
  <c r="G98" i="2"/>
  <c r="E119" i="2"/>
  <c r="N93" i="2"/>
  <c r="N116" i="2"/>
  <c r="N79" i="2"/>
  <c r="E97" i="2"/>
  <c r="E98" i="2" s="1"/>
  <c r="K119" i="2"/>
  <c r="K120" i="2"/>
  <c r="J120" i="2"/>
  <c r="J119" i="2"/>
  <c r="F119" i="2"/>
  <c r="L119" i="2"/>
  <c r="L120" i="2"/>
  <c r="K98" i="2"/>
  <c r="K97" i="2"/>
  <c r="J97" i="2"/>
  <c r="J98" i="2"/>
  <c r="F97" i="2"/>
  <c r="F98" i="2" s="1"/>
  <c r="I120" i="2"/>
  <c r="I119" i="2"/>
  <c r="I98" i="2"/>
  <c r="I97" i="2"/>
  <c r="L98" i="2"/>
  <c r="L97" i="2"/>
  <c r="B100" i="2" l="1"/>
  <c r="B81" i="2"/>
  <c r="O34" i="2"/>
  <c r="O11" i="2" s="1"/>
  <c r="N120" i="2"/>
  <c r="F120" i="2"/>
  <c r="E120" i="2"/>
  <c r="N97" i="2"/>
  <c r="B122" i="2" l="1"/>
  <c r="B121" i="2" s="1"/>
  <c r="S19" i="2"/>
  <c r="AK59" i="2"/>
  <c r="R58" i="2"/>
  <c r="P58" i="2"/>
  <c r="AI58" i="2"/>
  <c r="AK58" i="2"/>
  <c r="R59" i="2"/>
  <c r="BQ64" i="2"/>
  <c r="BQ63" i="2" s="1"/>
  <c r="N98" i="2"/>
  <c r="S18" i="2" s="1"/>
  <c r="B99" i="2" l="1"/>
  <c r="P109" i="2"/>
  <c r="AY68" i="2"/>
  <c r="BI73" i="2"/>
  <c r="AY63" i="2"/>
  <c r="BQ79" i="2"/>
  <c r="BQ78" i="2" s="1"/>
  <c r="BJ73" i="2"/>
  <c r="AR109" i="2" l="1"/>
  <c r="R108" i="2"/>
  <c r="AZ109" i="2"/>
  <c r="AP112" i="2"/>
  <c r="AP111" i="2" s="1"/>
  <c r="AK108" i="2"/>
  <c r="P107" i="2"/>
  <c r="AY112" i="2"/>
  <c r="AY111" i="2" s="1"/>
  <c r="BC108" i="2"/>
  <c r="BA107" i="2"/>
  <c r="AK107" i="2"/>
  <c r="BM105" i="2"/>
  <c r="AQ109" i="2"/>
  <c r="BH112" i="2"/>
  <c r="BH111" i="2" s="1"/>
  <c r="BA109" i="2"/>
  <c r="BC107" i="2"/>
  <c r="R107" i="2"/>
  <c r="AI107" i="2"/>
  <c r="BA73" i="2"/>
  <c r="BH79" i="2" s="1"/>
  <c r="BH78" i="2" s="1"/>
  <c r="AY79" i="2"/>
  <c r="AY78" i="2" s="1"/>
  <c r="CA86" i="2"/>
  <c r="BV86" i="2"/>
  <c r="BT86" i="2"/>
  <c r="CF98" i="2"/>
  <c r="CF97" i="2" s="1"/>
  <c r="BV96" i="2"/>
  <c r="BC86" i="2"/>
  <c r="BU96" i="2"/>
  <c r="BA86" i="2"/>
  <c r="C304" i="1"/>
  <c r="CF92" i="2" l="1"/>
  <c r="CF89" i="2" s="1"/>
  <c r="BV88" i="2"/>
  <c r="BQ92" i="2"/>
  <c r="BQ89" i="2" s="1"/>
  <c r="B7" i="1" l="1"/>
  <c r="O422" i="1" l="1"/>
  <c r="O317" i="1" l="1"/>
  <c r="O315" i="1"/>
  <c r="O313" i="1"/>
  <c r="P318" i="1" l="1"/>
  <c r="O318" i="1" s="1"/>
  <c r="O308" i="1"/>
  <c r="P306" i="1"/>
  <c r="P304" i="1"/>
  <c r="O304" i="1" s="1"/>
  <c r="P302" i="1"/>
  <c r="O302" i="1" s="1"/>
  <c r="P300" i="1"/>
  <c r="O300" i="1" s="1"/>
  <c r="P298" i="1"/>
  <c r="O298" i="1" s="1"/>
  <c r="O290" i="1"/>
  <c r="P292" i="1"/>
  <c r="O292" i="1" s="1"/>
  <c r="O306" i="1" l="1"/>
  <c r="CJ243" i="1" l="1"/>
  <c r="H215" i="1"/>
  <c r="O210" i="1"/>
  <c r="O208" i="1"/>
  <c r="O44" i="1"/>
  <c r="O81" i="1" l="1"/>
  <c r="E69" i="1" l="1"/>
  <c r="F90" i="1"/>
  <c r="G90" i="1"/>
  <c r="H90" i="1"/>
  <c r="I90" i="1"/>
  <c r="J90" i="1"/>
  <c r="K90" i="1"/>
  <c r="L90" i="1"/>
  <c r="M90" i="1"/>
  <c r="E90" i="1"/>
  <c r="E113" i="1"/>
  <c r="F89" i="1"/>
  <c r="G89" i="1"/>
  <c r="H89" i="1"/>
  <c r="I89" i="1"/>
  <c r="J89" i="1"/>
  <c r="K89" i="1"/>
  <c r="L89" i="1"/>
  <c r="M89" i="1"/>
  <c r="E89" i="1"/>
  <c r="E112" i="1"/>
  <c r="D79" i="1" l="1"/>
  <c r="B84" i="1" l="1"/>
  <c r="N92" i="1" l="1"/>
  <c r="N94" i="1" l="1"/>
  <c r="O39" i="1" l="1"/>
  <c r="P430" i="1" l="1"/>
  <c r="O430" i="1" s="1"/>
  <c r="P68" i="1" l="1"/>
  <c r="O68" i="1" s="1"/>
  <c r="P62" i="1"/>
  <c r="O62" i="1" s="1"/>
  <c r="Q62" i="1"/>
  <c r="O63" i="1" s="1"/>
  <c r="P67" i="1"/>
  <c r="O67" i="1" s="1"/>
  <c r="P20" i="1"/>
  <c r="O20" i="1" s="1"/>
  <c r="O66" i="1" l="1"/>
  <c r="P25" i="1"/>
  <c r="O25" i="1" s="1"/>
  <c r="O37" i="1"/>
  <c r="P16" i="1" l="1"/>
  <c r="P18" i="1"/>
  <c r="O18" i="1" s="1"/>
  <c r="P23" i="1"/>
  <c r="O23" i="1" s="1"/>
  <c r="O426" i="1"/>
  <c r="O16" i="1" l="1"/>
  <c r="B117" i="1" l="1"/>
  <c r="S426" i="1" l="1"/>
  <c r="S15" i="1"/>
  <c r="E64" i="1"/>
  <c r="E72" i="1" s="1"/>
  <c r="F64" i="1"/>
  <c r="F69" i="1"/>
  <c r="G64" i="1"/>
  <c r="G69" i="1"/>
  <c r="H64" i="1"/>
  <c r="H69" i="1"/>
  <c r="I64" i="1"/>
  <c r="I69" i="1"/>
  <c r="J64" i="1"/>
  <c r="J69" i="1"/>
  <c r="K64" i="1"/>
  <c r="K69" i="1"/>
  <c r="L64" i="1"/>
  <c r="L69" i="1"/>
  <c r="M64" i="1"/>
  <c r="M69" i="1"/>
  <c r="S24" i="1"/>
  <c r="S23" i="1"/>
  <c r="N115" i="1"/>
  <c r="N116" i="1"/>
  <c r="C126" i="1"/>
  <c r="N93" i="1"/>
  <c r="P242" i="1"/>
  <c r="P217" i="1"/>
  <c r="N66" i="1"/>
  <c r="N67" i="1"/>
  <c r="N68" i="1"/>
  <c r="F193" i="1"/>
  <c r="G193" i="1"/>
  <c r="H193" i="1"/>
  <c r="I193" i="1"/>
  <c r="J193" i="1"/>
  <c r="K193" i="1"/>
  <c r="L193" i="1"/>
  <c r="M193" i="1"/>
  <c r="E193" i="1"/>
  <c r="E187" i="1"/>
  <c r="F187" i="1"/>
  <c r="G187" i="1"/>
  <c r="H187" i="1"/>
  <c r="I187" i="1"/>
  <c r="J187" i="1"/>
  <c r="K187" i="1"/>
  <c r="L187" i="1"/>
  <c r="M187" i="1"/>
  <c r="E181" i="1"/>
  <c r="F181" i="1"/>
  <c r="G181" i="1"/>
  <c r="H181" i="1"/>
  <c r="I181" i="1"/>
  <c r="J181" i="1"/>
  <c r="K181" i="1"/>
  <c r="L181" i="1"/>
  <c r="M181" i="1"/>
  <c r="E155" i="1"/>
  <c r="F155" i="1"/>
  <c r="G155" i="1"/>
  <c r="H155" i="1"/>
  <c r="I155" i="1"/>
  <c r="J155" i="1"/>
  <c r="K155" i="1"/>
  <c r="L155" i="1"/>
  <c r="M155" i="1"/>
  <c r="E149" i="1"/>
  <c r="F149" i="1"/>
  <c r="G149" i="1"/>
  <c r="H149" i="1"/>
  <c r="I149" i="1"/>
  <c r="J149" i="1"/>
  <c r="K149" i="1"/>
  <c r="L149" i="1"/>
  <c r="M149" i="1"/>
  <c r="E143" i="1"/>
  <c r="H143" i="1"/>
  <c r="I143" i="1"/>
  <c r="F143" i="1"/>
  <c r="G143" i="1"/>
  <c r="J143" i="1"/>
  <c r="K143" i="1"/>
  <c r="L143" i="1"/>
  <c r="M143" i="1"/>
  <c r="N61" i="1"/>
  <c r="N62" i="1"/>
  <c r="N63" i="1"/>
  <c r="N180" i="1"/>
  <c r="N189" i="1"/>
  <c r="N190" i="1"/>
  <c r="N191" i="1"/>
  <c r="N192" i="1"/>
  <c r="N183" i="1"/>
  <c r="N184" i="1"/>
  <c r="N185" i="1"/>
  <c r="N186" i="1"/>
  <c r="N152" i="1"/>
  <c r="N151" i="1"/>
  <c r="N153" i="1"/>
  <c r="N154" i="1"/>
  <c r="N145" i="1"/>
  <c r="N146" i="1"/>
  <c r="N147" i="1"/>
  <c r="N148" i="1"/>
  <c r="D163" i="1"/>
  <c r="C163" i="1"/>
  <c r="C79" i="1"/>
  <c r="D50" i="1"/>
  <c r="C50" i="1"/>
  <c r="D286" i="1"/>
  <c r="C286" i="1"/>
  <c r="D251" i="1"/>
  <c r="C251" i="1"/>
  <c r="D201" i="1"/>
  <c r="C201" i="1"/>
  <c r="D126" i="1"/>
  <c r="D105" i="1"/>
  <c r="C105" i="1"/>
  <c r="I267" i="1"/>
  <c r="H267" i="1"/>
  <c r="G267" i="1"/>
  <c r="D267" i="1"/>
  <c r="C267" i="1"/>
  <c r="C265" i="1"/>
  <c r="H261" i="1"/>
  <c r="H263" i="1"/>
  <c r="C261" i="1"/>
  <c r="H259" i="1"/>
  <c r="H257" i="1"/>
  <c r="C259" i="1"/>
  <c r="C263" i="1"/>
  <c r="F113" i="1"/>
  <c r="G113" i="1"/>
  <c r="H113" i="1"/>
  <c r="I113" i="1"/>
  <c r="J113" i="1"/>
  <c r="K113" i="1"/>
  <c r="L113" i="1"/>
  <c r="M113" i="1"/>
  <c r="F112" i="1"/>
  <c r="G112" i="1"/>
  <c r="H112" i="1"/>
  <c r="I112" i="1"/>
  <c r="J112" i="1"/>
  <c r="K112" i="1"/>
  <c r="L112" i="1"/>
  <c r="M112" i="1"/>
  <c r="N59" i="1"/>
  <c r="C215" i="1"/>
  <c r="L111" i="1" l="1"/>
  <c r="L88" i="1"/>
  <c r="F88" i="1"/>
  <c r="F111" i="1"/>
  <c r="K111" i="1"/>
  <c r="K88" i="1"/>
  <c r="I88" i="1"/>
  <c r="I111" i="1"/>
  <c r="J88" i="1"/>
  <c r="J111" i="1"/>
  <c r="F72" i="1"/>
  <c r="J72" i="1"/>
  <c r="I72" i="1"/>
  <c r="H72" i="1"/>
  <c r="L72" i="1"/>
  <c r="K72" i="1"/>
  <c r="M72" i="1"/>
  <c r="G72" i="1"/>
  <c r="N69" i="1"/>
  <c r="M71" i="1"/>
  <c r="M91" i="1" s="1"/>
  <c r="K71" i="1"/>
  <c r="K91" i="1" s="1"/>
  <c r="K96" i="1" s="1"/>
  <c r="I71" i="1"/>
  <c r="I91" i="1" s="1"/>
  <c r="I96" i="1" s="1"/>
  <c r="G71" i="1"/>
  <c r="G91" i="1" s="1"/>
  <c r="E71" i="1"/>
  <c r="K70" i="1"/>
  <c r="M70" i="1"/>
  <c r="I70" i="1"/>
  <c r="G70" i="1"/>
  <c r="N181" i="1"/>
  <c r="N117" i="1"/>
  <c r="N155" i="1"/>
  <c r="N64" i="1"/>
  <c r="N187" i="1"/>
  <c r="E70" i="1"/>
  <c r="N149" i="1"/>
  <c r="N193" i="1"/>
  <c r="N143" i="1"/>
  <c r="L71" i="1"/>
  <c r="L91" i="1" s="1"/>
  <c r="L96" i="1" s="1"/>
  <c r="L70" i="1"/>
  <c r="J71" i="1"/>
  <c r="J91" i="1" s="1"/>
  <c r="J96" i="1" s="1"/>
  <c r="J70" i="1"/>
  <c r="H71" i="1"/>
  <c r="H70" i="1"/>
  <c r="F71" i="1"/>
  <c r="F91" i="1" s="1"/>
  <c r="F70" i="1"/>
  <c r="P57" i="1" l="1"/>
  <c r="O57" i="1" s="1"/>
  <c r="P58" i="1"/>
  <c r="O58" i="1" s="1"/>
  <c r="P59" i="1"/>
  <c r="O59" i="1" s="1"/>
  <c r="E91" i="1"/>
  <c r="E169" i="1"/>
  <c r="B196" i="1" s="1"/>
  <c r="F95" i="1"/>
  <c r="F96" i="1" s="1"/>
  <c r="G95" i="1"/>
  <c r="G96" i="1" s="1"/>
  <c r="J95" i="1"/>
  <c r="M95" i="1"/>
  <c r="K95" i="1"/>
  <c r="I95" i="1"/>
  <c r="L95" i="1"/>
  <c r="E73" i="1"/>
  <c r="N71" i="1"/>
  <c r="H91" i="1"/>
  <c r="H96" i="1" s="1"/>
  <c r="K114" i="1"/>
  <c r="I114" i="1"/>
  <c r="M73" i="1"/>
  <c r="G114" i="1"/>
  <c r="I156" i="1"/>
  <c r="I73" i="1"/>
  <c r="M156" i="1"/>
  <c r="E114" i="1"/>
  <c r="E117" i="1" s="1"/>
  <c r="E118" i="1" s="1"/>
  <c r="M114" i="1"/>
  <c r="M117" i="1" s="1"/>
  <c r="G73" i="1"/>
  <c r="K73" i="1"/>
  <c r="K156" i="1"/>
  <c r="N70" i="1"/>
  <c r="F73" i="1"/>
  <c r="F156" i="1"/>
  <c r="F114" i="1"/>
  <c r="F117" i="1" s="1"/>
  <c r="H73" i="1"/>
  <c r="H156" i="1"/>
  <c r="H114" i="1"/>
  <c r="H117" i="1" s="1"/>
  <c r="J73" i="1"/>
  <c r="J156" i="1"/>
  <c r="J114" i="1"/>
  <c r="J117" i="1" s="1"/>
  <c r="L73" i="1"/>
  <c r="L114" i="1"/>
  <c r="L117" i="1" s="1"/>
  <c r="B75" i="1" l="1"/>
  <c r="E95" i="1"/>
  <c r="E96" i="1" s="1"/>
  <c r="E131" i="1"/>
  <c r="P131" i="1" s="1"/>
  <c r="E168" i="1"/>
  <c r="N91" i="1"/>
  <c r="P92" i="1"/>
  <c r="O92" i="1" s="1"/>
  <c r="M96" i="1"/>
  <c r="N73" i="1"/>
  <c r="S16" i="1" s="1"/>
  <c r="K117" i="1"/>
  <c r="K194" i="1" s="1"/>
  <c r="I117" i="1"/>
  <c r="I194" i="1" s="1"/>
  <c r="H95" i="1"/>
  <c r="P93" i="1"/>
  <c r="O93" i="1" s="1"/>
  <c r="P94" i="1"/>
  <c r="G117" i="1"/>
  <c r="G194" i="1" s="1"/>
  <c r="E156" i="1"/>
  <c r="K118" i="1"/>
  <c r="I118" i="1"/>
  <c r="F194" i="1"/>
  <c r="M194" i="1"/>
  <c r="L194" i="1"/>
  <c r="J194" i="1"/>
  <c r="H194" i="1"/>
  <c r="L156" i="1"/>
  <c r="P115" i="1"/>
  <c r="P116" i="1"/>
  <c r="O116" i="1" s="1"/>
  <c r="G156" i="1"/>
  <c r="N114" i="1"/>
  <c r="N118" i="1" s="1"/>
  <c r="S18" i="1" s="1"/>
  <c r="B98" i="1" l="1"/>
  <c r="B158" i="1"/>
  <c r="B157" i="1" s="1"/>
  <c r="P174" i="1"/>
  <c r="O174" i="1" s="1"/>
  <c r="P171" i="1"/>
  <c r="O171" i="1" s="1"/>
  <c r="P170" i="1"/>
  <c r="O170" i="1" s="1"/>
  <c r="P168" i="1"/>
  <c r="O168" i="1" s="1"/>
  <c r="P169" i="1"/>
  <c r="O169" i="1" s="1"/>
  <c r="P133" i="1"/>
  <c r="O133" i="1" s="1"/>
  <c r="O131" i="1"/>
  <c r="P132" i="1"/>
  <c r="O132" i="1" s="1"/>
  <c r="P137" i="1"/>
  <c r="O137" i="1" s="1"/>
  <c r="O172" i="1"/>
  <c r="B195" i="1"/>
  <c r="N95" i="1"/>
  <c r="G118" i="1"/>
  <c r="AI130" i="1"/>
  <c r="Y130" i="1"/>
  <c r="E194" i="1"/>
  <c r="N194" i="1" s="1"/>
  <c r="S20" i="1" s="1"/>
  <c r="M118" i="1"/>
  <c r="J118" i="1"/>
  <c r="L118" i="1"/>
  <c r="H118" i="1"/>
  <c r="N72" i="1"/>
  <c r="B74" i="1" s="1"/>
  <c r="P54" i="1" s="1"/>
  <c r="F118" i="1"/>
  <c r="N156" i="1"/>
  <c r="S19" i="1" s="1"/>
  <c r="O115" i="1"/>
  <c r="O118" i="1"/>
  <c r="O156" i="1"/>
  <c r="B120" i="1" l="1"/>
  <c r="B119" i="1" s="1"/>
  <c r="P107" i="1" s="1"/>
  <c r="AB110" i="1" s="1"/>
  <c r="AB54" i="1"/>
  <c r="AA54" i="1" s="1"/>
  <c r="AB67" i="1"/>
  <c r="AA67" i="1" s="1"/>
  <c r="V52" i="1"/>
  <c r="U51" i="1"/>
  <c r="R51" i="1"/>
  <c r="P50" i="1"/>
  <c r="R50" i="1"/>
  <c r="N96" i="1"/>
  <c r="R65" i="1"/>
  <c r="R53" i="1"/>
  <c r="O194" i="1"/>
  <c r="V107" i="1" l="1"/>
  <c r="AB118" i="1"/>
  <c r="AA118" i="1" s="1"/>
  <c r="AA110" i="1"/>
  <c r="U106" i="1"/>
  <c r="R106" i="1"/>
  <c r="B97" i="1"/>
  <c r="P83" i="1" s="1"/>
  <c r="S17" i="1"/>
  <c r="R116" i="1"/>
  <c r="R108" i="1"/>
  <c r="V82" i="1" l="1"/>
  <c r="AB87" i="1"/>
  <c r="AA87" i="1" s="1"/>
  <c r="AB95" i="1"/>
  <c r="AA95" i="1" s="1"/>
  <c r="R86" i="1"/>
  <c r="U81" i="1"/>
  <c r="P80" i="1"/>
  <c r="R80" i="1"/>
  <c r="R81" i="1"/>
  <c r="R94" i="1"/>
  <c r="R105" i="1"/>
  <c r="P105" i="1"/>
  <c r="O94" i="1" l="1"/>
  <c r="BP85" i="1" l="1"/>
  <c r="BQ85" i="1" s="1"/>
  <c r="CE85" i="1"/>
  <c r="CF85" i="1" s="1"/>
  <c r="BG60" i="1" l="1"/>
  <c r="AY72" i="1"/>
  <c r="AY71" i="1" s="1"/>
  <c r="BG64" i="1"/>
  <c r="BH64" i="1" s="1"/>
  <c r="O321" i="1"/>
  <c r="O436" i="1" s="1"/>
  <c r="D436" i="1" l="1"/>
</calcChain>
</file>

<file path=xl/comments1.xml><?xml version="1.0" encoding="utf-8"?>
<comments xmlns="http://schemas.openxmlformats.org/spreadsheetml/2006/main">
  <authors>
    <author>wwg</author>
    <author>Lisa Collard</author>
  </authors>
  <commentList>
    <comment ref="D12" authorId="0" shapeId="0">
      <text>
        <r>
          <rPr>
            <b/>
            <sz val="8"/>
            <color indexed="81"/>
            <rFont val="Tahoma"/>
            <family val="2"/>
          </rPr>
          <t>The red triangle in the upper right corner signifies a comment.  It is revealed when the cursor is placed over the cell.</t>
        </r>
      </text>
    </comment>
    <comment ref="C25" authorId="1" shapeId="0">
      <text>
        <r>
          <rPr>
            <sz val="9"/>
            <color indexed="81"/>
            <rFont val="Tahoma"/>
            <family val="2"/>
          </rPr>
          <t xml:space="preserve">
To add the URL (link) to the Paramedic educational program's published outcomes:
1. Copy the URL (link), select or highlight the cell (one left click on E-N25) where you want to add the link, and paste the URL (link) to the address bar above.
</t>
        </r>
        <r>
          <rPr>
            <b/>
            <sz val="9"/>
            <color indexed="81"/>
            <rFont val="Tahoma"/>
            <family val="2"/>
          </rPr>
          <t>or</t>
        </r>
        <r>
          <rPr>
            <sz val="9"/>
            <color indexed="81"/>
            <rFont val="Tahoma"/>
            <family val="2"/>
          </rPr>
          <t xml:space="preserve">
2. Copy the URL (link), double click the cell (two left clicks on E-N25) where you want to add the link, and once you see the cursor is in the cell, paste the URL (link) into the cell (E-N25).</t>
        </r>
      </text>
    </comment>
    <comment ref="B55" authorId="1" shapeId="0">
      <text>
        <r>
          <rPr>
            <b/>
            <sz val="9"/>
            <color indexed="81"/>
            <rFont val="Tahoma"/>
            <family val="2"/>
          </rPr>
          <t xml:space="preserve">
The addition of this row allows programs to record internal cohort information (e.g., internal class numbers, etc.) for tracking purposes. No data is required for this field. </t>
        </r>
        <r>
          <rPr>
            <sz val="9"/>
            <color indexed="81"/>
            <rFont val="Tahoma"/>
            <family val="2"/>
          </rPr>
          <t xml:space="preserve">
</t>
        </r>
      </text>
    </comment>
    <comment ref="B58" authorId="1" shapeId="0">
      <text>
        <r>
          <rPr>
            <b/>
            <sz val="9"/>
            <color indexed="81"/>
            <rFont val="Tahoma"/>
            <family val="2"/>
          </rPr>
          <t xml:space="preserve">On-time graduation means enrolled students are expected to complete all course requirements in order to graduate in the designated time-to-certificate or degree for the program.  The resources must be allocated to build and deliver the program in this period of time.  </t>
        </r>
        <r>
          <rPr>
            <sz val="9"/>
            <color indexed="81"/>
            <rFont val="Tahoma"/>
            <family val="2"/>
          </rPr>
          <t xml:space="preserve">
</t>
        </r>
      </text>
    </comment>
    <comment ref="D63" authorId="1" shapeId="0">
      <text>
        <r>
          <rPr>
            <b/>
            <sz val="9"/>
            <color indexed="81"/>
            <rFont val="Tahoma"/>
            <family val="2"/>
          </rPr>
          <t>Category can include but is not limited to:</t>
        </r>
        <r>
          <rPr>
            <sz val="9"/>
            <color indexed="81"/>
            <rFont val="Tahoma"/>
            <family val="2"/>
          </rPr>
          <t xml:space="preserve">
-Violation of institution/program policies
-Conduct reasons</t>
        </r>
      </text>
    </comment>
    <comment ref="B91" authorId="1" shapeId="0">
      <text>
        <r>
          <rPr>
            <b/>
            <sz val="9"/>
            <color indexed="81"/>
            <rFont val="Tahoma"/>
            <family val="2"/>
          </rPr>
          <t xml:space="preserve">
According to the National Registry (www.nremt.org):
Number passing - 1st attempt = </t>
        </r>
        <r>
          <rPr>
            <sz val="9"/>
            <color indexed="81"/>
            <rFont val="Tahoma"/>
            <family val="2"/>
          </rPr>
          <t>First time a graduate takes and passes the exam in the calendar year being reported.</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B92"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F</t>
        </r>
        <r>
          <rPr>
            <sz val="9"/>
            <color indexed="81"/>
            <rFont val="Tahoma"/>
            <family val="2"/>
          </rPr>
          <t xml:space="preserve">irst, second, and third time a graduate takes and passes the exam in the calendar year being reported.  This does not include any subsequent attempts and passes after the third time.
</t>
        </r>
      </text>
    </comment>
    <comment ref="C92"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t>
        </r>
        <r>
          <rPr>
            <sz val="9"/>
            <color indexed="81"/>
            <rFont val="Tahoma"/>
            <family val="2"/>
          </rPr>
          <t xml:space="preserve"> First, second, and third time a graduate takes and passes the exam in the calendar year being reported.  This does not include any subsequent attempts and passes after the third time.
</t>
        </r>
      </text>
    </comment>
    <comment ref="B93"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F</t>
        </r>
        <r>
          <rPr>
            <sz val="9"/>
            <color indexed="81"/>
            <rFont val="Tahoma"/>
            <family val="2"/>
          </rPr>
          <t xml:space="preserve">irst, second, and third time a graduate takes and passes the exam in the calendar year being reported.  This does not include any subsequent attempts and passes after the third time.
</t>
        </r>
      </text>
    </comment>
    <comment ref="C93"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t>
        </r>
        <r>
          <rPr>
            <sz val="9"/>
            <color indexed="81"/>
            <rFont val="Tahoma"/>
            <family val="2"/>
          </rPr>
          <t xml:space="preserve"> First, second, and third time a graduate takes and passes the exam in the calendar year being reported.  This does not include any subsequent attempts and passes after the third time.
</t>
        </r>
      </text>
    </comment>
    <comment ref="B94"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C94"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D115" authorId="1" shapeId="0">
      <text>
        <r>
          <rPr>
            <b/>
            <sz val="9"/>
            <color indexed="81"/>
            <rFont val="Tahoma"/>
            <family val="2"/>
          </rPr>
          <t xml:space="preserve">
“Positive placement” </t>
        </r>
        <r>
          <rPr>
            <sz val="9"/>
            <color indexed="81"/>
            <rFont val="Tahoma"/>
            <family val="2"/>
          </rPr>
          <t>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t>
        </r>
        <r>
          <rPr>
            <b/>
            <sz val="9"/>
            <color indexed="81"/>
            <rFont val="Tahoma"/>
            <family val="2"/>
          </rPr>
          <t xml:space="preserve"> </t>
        </r>
        <r>
          <rPr>
            <sz val="9"/>
            <color indexed="81"/>
            <rFont val="Tahoma"/>
            <family val="2"/>
          </rPr>
          <t xml:space="preserve">
A Paramedic graduate employed as an EMT is not a positive placement.  If the graduate is not employed in a position that uses the Paramedic education acquired in the program, then s/he is not counted as employed in the annual report.</t>
        </r>
      </text>
    </comment>
    <comment ref="C308" authorId="1" shapeId="0">
      <text>
        <r>
          <rPr>
            <sz val="9"/>
            <color indexed="81"/>
            <rFont val="Tahoma"/>
            <family val="2"/>
          </rPr>
          <t xml:space="preserve">
The Clinical Coordinator serves as a member of the instructional faculty of the program, provides instructional input and guidance related to clinical education and clinical site learning, and acts as a liaison between the various hospital affiliates and the Paramedic educational program.  The Clinical Coordinator will directly assist the Program Director in the preparation of student assignment, schedules and locations of clinical training, selection of textbooks, writing syllabi, and curricular changes pertaining to the Paramedic educational program.</t>
        </r>
      </text>
    </comment>
    <comment ref="H308" authorId="1" shapeId="0">
      <text>
        <r>
          <rPr>
            <sz val="9"/>
            <color indexed="81"/>
            <rFont val="Tahoma"/>
            <family val="2"/>
          </rPr>
          <t xml:space="preserve">
The Clinical Coordinator serves as a member of the instructional faculty of the program, provides instructional input and guidance related to clinical education and clinical site learning, and acts as a liaison between the various hospital affiliates and the Paramedic educational program.  The Clinical Coordinator will directly assist the Program Director in the preparation of student assignment, schedules and locations of clinical training, selection of textbooks, writing syllabi, and curricular changes pertaining to the Paramedic educational program.</t>
        </r>
      </text>
    </comment>
    <comment ref="D332" authorId="1" shapeId="0">
      <text>
        <r>
          <rPr>
            <sz val="9"/>
            <color indexed="81"/>
            <rFont val="Tahoma"/>
            <family val="2"/>
          </rPr>
          <t xml:space="preserve">
</t>
        </r>
        <r>
          <rPr>
            <b/>
            <sz val="9"/>
            <color indexed="81"/>
            <rFont val="Tahoma"/>
            <family val="2"/>
          </rPr>
          <t>Full Onsite (In-Person) Delivery:</t>
        </r>
        <r>
          <rPr>
            <sz val="9"/>
            <color indexed="81"/>
            <rFont val="Tahoma"/>
            <family val="2"/>
          </rPr>
          <t xml:space="preserve">
method of delivery in which all didactic and laboratory instruction is provided at an approved location (on or off campus), where instructors and students interact simultaneously in the same physical location.</t>
        </r>
      </text>
    </comment>
    <comment ref="D334" authorId="1" shapeId="0">
      <text>
        <r>
          <rPr>
            <sz val="9"/>
            <color indexed="81"/>
            <rFont val="Tahoma"/>
            <family val="2"/>
          </rPr>
          <t xml:space="preserve">
</t>
        </r>
        <r>
          <rPr>
            <b/>
            <sz val="9"/>
            <color indexed="81"/>
            <rFont val="Tahoma"/>
            <family val="2"/>
          </rPr>
          <t xml:space="preserve">Blended (Hybrid) Distance Education Delivery: </t>
        </r>
        <r>
          <rPr>
            <sz val="9"/>
            <color indexed="81"/>
            <rFont val="Tahoma"/>
            <family val="2"/>
          </rPr>
          <t xml:space="preserve"> 
method of delivery in which all didactic and laboratory instruction is provided using a combination of onsite (in-person) and distance education instruction, which may be synchronous or asynchronous. </t>
        </r>
      </text>
    </comment>
  </commentList>
</comments>
</file>

<file path=xl/comments2.xml><?xml version="1.0" encoding="utf-8"?>
<comments xmlns="http://schemas.openxmlformats.org/spreadsheetml/2006/main">
  <authors>
    <author>wwg</author>
    <author>Lisa Collard</author>
  </authors>
  <commentList>
    <comment ref="D13" authorId="0" shapeId="0">
      <text>
        <r>
          <rPr>
            <b/>
            <sz val="8"/>
            <color indexed="81"/>
            <rFont val="Tahoma"/>
            <family val="2"/>
          </rPr>
          <t>The red triangle in the upper right corner signifies a comment.  It is revealed when the cursor is placed over the cell.</t>
        </r>
      </text>
    </comment>
    <comment ref="H38" authorId="1" shapeId="0">
      <text>
        <r>
          <rPr>
            <sz val="9"/>
            <color indexed="81"/>
            <rFont val="Tahoma"/>
            <family val="2"/>
          </rPr>
          <t xml:space="preserve">
This column auto populates and cannot be manually adjusted. 
</t>
        </r>
      </text>
    </comment>
    <comment ref="J38" authorId="1" shapeId="0">
      <text>
        <r>
          <rPr>
            <sz val="9"/>
            <color indexed="81"/>
            <rFont val="Tahoma"/>
            <family val="2"/>
          </rPr>
          <t xml:space="preserve">
There are nine (9) columns available to report active satellite outcomes data.  If there are more than nine (9) active satellite locations, then the outcomes data will need to be combined with another satellite location.  Select which satellite number (i.e., column) the combined data will be reported in for the tables below.      </t>
        </r>
      </text>
    </comment>
    <comment ref="B65" authorId="1" shapeId="0">
      <text>
        <r>
          <rPr>
            <b/>
            <sz val="9"/>
            <color indexed="81"/>
            <rFont val="Tahoma"/>
            <family val="2"/>
          </rPr>
          <t xml:space="preserve">On-time graduation means enrolled students are expected to complete all course requirements in order to graduate in the designated time-to-certificate or degree for the program.  The resources must be allocated to build and deliver the program in this period of time.  </t>
        </r>
        <r>
          <rPr>
            <sz val="9"/>
            <color indexed="81"/>
            <rFont val="Tahoma"/>
            <family val="2"/>
          </rPr>
          <t xml:space="preserve">
</t>
        </r>
      </text>
    </comment>
    <comment ref="D70" authorId="1" shapeId="0">
      <text>
        <r>
          <rPr>
            <b/>
            <sz val="9"/>
            <color indexed="81"/>
            <rFont val="Tahoma"/>
            <family val="2"/>
          </rPr>
          <t>Category can include but is not limited to:</t>
        </r>
        <r>
          <rPr>
            <sz val="9"/>
            <color indexed="81"/>
            <rFont val="Tahoma"/>
            <family val="2"/>
          </rPr>
          <t xml:space="preserve">
-Violation of institution/program policies
-Conduct reasons</t>
        </r>
      </text>
    </comment>
    <comment ref="B93" authorId="1" shapeId="0">
      <text>
        <r>
          <rPr>
            <b/>
            <sz val="9"/>
            <color indexed="81"/>
            <rFont val="Tahoma"/>
            <family val="2"/>
          </rPr>
          <t xml:space="preserve">
According to the National Registry (www.nremt.org):
Number passing - 1st attempt = </t>
        </r>
        <r>
          <rPr>
            <sz val="9"/>
            <color indexed="81"/>
            <rFont val="Tahoma"/>
            <family val="2"/>
          </rPr>
          <t>First time a graduate takes and passes the exam in the calendar year being reported.</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B94"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F</t>
        </r>
        <r>
          <rPr>
            <sz val="9"/>
            <color indexed="81"/>
            <rFont val="Tahoma"/>
            <family val="2"/>
          </rPr>
          <t xml:space="preserve">irst, second, and third time a graduate takes and passes the exam in the calendar year being reported.  This does not include any subsequent attempts and passes after the third time.
</t>
        </r>
      </text>
    </comment>
    <comment ref="C94"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t>
        </r>
        <r>
          <rPr>
            <sz val="9"/>
            <color indexed="81"/>
            <rFont val="Tahoma"/>
            <family val="2"/>
          </rPr>
          <t xml:space="preserve"> First, second, and third time a graduate takes and passes the exam in the calendar year being reported.  This does not include any subsequent attempts and passes after the third time.
</t>
        </r>
      </text>
    </comment>
    <comment ref="B95"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F</t>
        </r>
        <r>
          <rPr>
            <sz val="9"/>
            <color indexed="81"/>
            <rFont val="Tahoma"/>
            <family val="2"/>
          </rPr>
          <t xml:space="preserve">irst, second, and third time a graduate takes and passes the exam in the calendar year being reported.  This does not include any subsequent attempts and passes after the third time.
</t>
        </r>
      </text>
    </comment>
    <comment ref="C95"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t>
        </r>
        <r>
          <rPr>
            <sz val="9"/>
            <color indexed="81"/>
            <rFont val="Tahoma"/>
            <family val="2"/>
          </rPr>
          <t xml:space="preserve"> First, second, and third time a graduate takes and passes the exam in the calendar year being reported.  This does not include any subsequent attempts and passes after the third time.
</t>
        </r>
      </text>
    </comment>
    <comment ref="B96"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C96" authorId="1" shapeId="0">
      <text>
        <r>
          <rPr>
            <b/>
            <sz val="9"/>
            <color indexed="81"/>
            <rFont val="Tahoma"/>
            <family val="2"/>
          </rPr>
          <t xml:space="preserve">
According to the National Registry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D117" authorId="1" shapeId="0">
      <text>
        <r>
          <rPr>
            <b/>
            <sz val="9"/>
            <color indexed="81"/>
            <rFont val="Tahoma"/>
            <family val="2"/>
          </rPr>
          <t xml:space="preserve">
“Positive placement” </t>
        </r>
        <r>
          <rPr>
            <sz val="9"/>
            <color indexed="81"/>
            <rFont val="Tahoma"/>
            <family val="2"/>
          </rPr>
          <t>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t>
        </r>
        <r>
          <rPr>
            <b/>
            <sz val="9"/>
            <color indexed="81"/>
            <rFont val="Tahoma"/>
            <family val="2"/>
          </rPr>
          <t xml:space="preserve"> </t>
        </r>
        <r>
          <rPr>
            <sz val="9"/>
            <color indexed="81"/>
            <rFont val="Tahoma"/>
            <family val="2"/>
          </rPr>
          <t xml:space="preserve">
A Paramedic graduate employed as an EMT is not a positive placement.  If the graduate is not employed in a position that uses the Paramedic education acquired in the program, then s/he is not counted as employed in the annual report.</t>
        </r>
      </text>
    </comment>
  </commentList>
</comments>
</file>

<file path=xl/sharedStrings.xml><?xml version="1.0" encoding="utf-8"?>
<sst xmlns="http://schemas.openxmlformats.org/spreadsheetml/2006/main" count="299" uniqueCount="189">
  <si>
    <t>Distance Education</t>
  </si>
  <si>
    <t>&lt;=== Hovering your cursor over a cell with a red triangle in upper right corner reveals text.  Try it.</t>
  </si>
  <si>
    <t>Committee on Accreditation of Educational Programs for the EMS Professions (CoAEMSP), in cooperation with the Commission on Accreditation of Allied Health Education Programs (CAAHEP)</t>
  </si>
  <si>
    <t xml:space="preserve">Should you have questions as you work through the Annual Report, please contact Lynn at (214) 703-8445 ext 115 or   </t>
  </si>
  <si>
    <t>CoAEMSP 
Program #:</t>
  </si>
  <si>
    <t xml:space="preserve">City:   </t>
  </si>
  <si>
    <t>State:</t>
  </si>
  <si>
    <t xml:space="preserve">  (the 600XXX number assigned by CoAEMSP)</t>
  </si>
  <si>
    <t>Is any portion of the program offered through distance education (DE)?</t>
  </si>
  <si>
    <t>http://coaemsp.org/Policy_Procedures.htm</t>
  </si>
  <si>
    <t>Outcomes Summary</t>
  </si>
  <si>
    <t>On-time Graduation Date</t>
  </si>
  <si>
    <t>Reporting Year Totals</t>
  </si>
  <si>
    <t>GRADUATE SURVEYS</t>
  </si>
  <si>
    <t>Enrollment Date</t>
  </si>
  <si>
    <t>Total Number of Affective Responses</t>
  </si>
  <si>
    <t>RESOURCE ASSESSMENT</t>
  </si>
  <si>
    <t>Total Number of Cognitive Responses:</t>
  </si>
  <si>
    <t>Total Number of Psychomotor Responses:</t>
  </si>
  <si>
    <t xml:space="preserve"> </t>
  </si>
  <si>
    <t>Retention Threshold 70%</t>
  </si>
  <si>
    <t>Total # of Students enrolled in this cohort</t>
  </si>
  <si>
    <t>Sponsoring 
   Institution:</t>
  </si>
  <si>
    <t>Please Select</t>
  </si>
  <si>
    <t>*Number dismissed due to grades</t>
  </si>
  <si>
    <t>*Number withdrew due to grades</t>
  </si>
  <si>
    <t>*Number due to other academic</t>
  </si>
  <si>
    <t>*Number due to financial</t>
  </si>
  <si>
    <t>EMPLOYER SURVEYS</t>
  </si>
  <si>
    <t>*Number of Graduates employed</t>
  </si>
  <si>
    <t>*Successful</t>
  </si>
  <si>
    <t>*Marginal</t>
  </si>
  <si>
    <t>*Unsuccessful</t>
  </si>
  <si>
    <t>*N/A</t>
  </si>
  <si>
    <r>
      <t xml:space="preserve">Graduate Psychomotor Responses:
   </t>
    </r>
    <r>
      <rPr>
        <b/>
        <sz val="9"/>
        <color rgb="FF0070C0"/>
        <rFont val="Calibri"/>
        <family val="2"/>
        <scheme val="minor"/>
      </rPr>
      <t>*(answer required for each psychomotor response)</t>
    </r>
  </si>
  <si>
    <r>
      <t xml:space="preserve">Graduate Affective Responses:
   </t>
    </r>
    <r>
      <rPr>
        <b/>
        <sz val="9"/>
        <color rgb="FF0070C0"/>
        <rFont val="Calibri"/>
        <family val="2"/>
        <scheme val="minor"/>
      </rPr>
      <t>*(answer required for each affective response)</t>
    </r>
  </si>
  <si>
    <r>
      <t xml:space="preserve">Employer Psychomotor Responses:
 </t>
    </r>
    <r>
      <rPr>
        <b/>
        <sz val="9"/>
        <color rgb="FF0070C0"/>
        <rFont val="Calibri"/>
        <family val="2"/>
        <scheme val="minor"/>
      </rPr>
      <t>*(answer required for each psychomotor response)</t>
    </r>
  </si>
  <si>
    <r>
      <t xml:space="preserve">Employer Affective Responses:
</t>
    </r>
    <r>
      <rPr>
        <b/>
        <sz val="9"/>
        <color rgb="FF0070C0"/>
        <rFont val="Calibri"/>
        <family val="2"/>
        <scheme val="minor"/>
      </rPr>
      <t xml:space="preserve"> *(answer required for each affective response)</t>
    </r>
  </si>
  <si>
    <r>
      <t xml:space="preserve">Total Graduates in Reporting Year
</t>
    </r>
    <r>
      <rPr>
        <b/>
        <sz val="12"/>
        <color theme="5" tint="-0.249977111117893"/>
        <rFont val="Calibri"/>
        <family val="2"/>
        <scheme val="minor"/>
      </rPr>
      <t xml:space="preserve"> *(answer required for each placement
    category)</t>
    </r>
  </si>
  <si>
    <t>Subtotal # Academic Attrition Reasons</t>
  </si>
  <si>
    <t>Subtotal # Non-academic Attrition Reasons</t>
  </si>
  <si>
    <t>*Number due to medical/personal</t>
  </si>
  <si>
    <t>*Number due to other/unknown</t>
  </si>
  <si>
    <t xml:space="preserve">Attrition % </t>
  </si>
  <si>
    <t>Retention %</t>
  </si>
  <si>
    <r>
      <rPr>
        <b/>
        <sz val="12"/>
        <rFont val="Arial"/>
        <family val="2"/>
      </rPr>
      <t xml:space="preserve">*Distance Education – Method of Instruction: </t>
    </r>
    <r>
      <rPr>
        <sz val="12"/>
        <rFont val="Arial"/>
        <family val="2"/>
      </rPr>
      <t xml:space="preserve">a formal educational process in which the majority of synchronous and asynchronous instruction occurs when student and instructor are not in the same place. Distance education includes, but is not limited to, correspondence study, or audio, video, and/or computer/internet technologies.  
</t>
    </r>
    <r>
      <rPr>
        <b/>
        <sz val="12"/>
        <rFont val="Arial"/>
        <family val="2"/>
      </rPr>
      <t>*Distance Education Program:</t>
    </r>
    <r>
      <rPr>
        <sz val="12"/>
        <rFont val="Arial"/>
        <family val="2"/>
      </rPr>
      <t xml:space="preserve"> delivery of the complete program that allows the completion of the entire curriculum without the need to attend any instruction on a campus location. (Note: this delivery is not hybrid or partial e-learning delivery). To view the entire Distance Education Section see Policy XI on CoAEMSP website using the link provided below:</t>
    </r>
  </si>
  <si>
    <t xml:space="preserve">        </t>
  </si>
  <si>
    <t>Date of Submission:</t>
  </si>
  <si>
    <t>(m/d/yyyy)</t>
  </si>
  <si>
    <t>attrition</t>
  </si>
  <si>
    <t>written</t>
  </si>
  <si>
    <t>placement</t>
  </si>
  <si>
    <t>Grad</t>
  </si>
  <si>
    <t>Employ</t>
  </si>
  <si>
    <t>RAM</t>
  </si>
  <si>
    <t>cover</t>
  </si>
  <si>
    <t>Satellite</t>
  </si>
  <si>
    <t>Last</t>
  </si>
  <si>
    <t>RAM2</t>
  </si>
  <si>
    <t>mm/dd/yyyy =&gt;</t>
  </si>
  <si>
    <t>Program Director Name:</t>
  </si>
  <si>
    <t>The sponsor must maintain, and make available to the public, current and consistent summary information about student/graduate achievement that includes the results of one or more of the outcomes assessments required.</t>
  </si>
  <si>
    <t>CoAEMSP Policy IV.D.:</t>
  </si>
  <si>
    <t>annualreports@coaemsp.org</t>
  </si>
  <si>
    <r>
      <t xml:space="preserve">Total Graduates in Reporting Year
</t>
    </r>
    <r>
      <rPr>
        <b/>
        <sz val="12"/>
        <color rgb="FF0070C0"/>
        <rFont val="Calibri"/>
        <family val="2"/>
        <scheme val="minor"/>
      </rPr>
      <t xml:space="preserve"> </t>
    </r>
    <r>
      <rPr>
        <b/>
        <sz val="12"/>
        <color theme="5" tint="-0.249977111117893"/>
        <rFont val="Calibri"/>
        <family val="2"/>
        <scheme val="minor"/>
      </rPr>
      <t xml:space="preserve">*(answer required for each category below)
   </t>
    </r>
    <r>
      <rPr>
        <sz val="12"/>
        <rFont val="Calibri"/>
        <family val="2"/>
        <scheme val="minor"/>
      </rPr>
      <t xml:space="preserve"> see definitions by hovering over
    any of the red comment triangle(s)</t>
    </r>
  </si>
  <si>
    <t>National Registry / State Written Threshold 70%</t>
  </si>
  <si>
    <r>
      <rPr>
        <sz val="12"/>
        <rFont val="Calibri"/>
        <family val="2"/>
        <scheme val="minor"/>
      </rPr>
      <t>(For informational purposes only to check for accuracy)
Manually Calculate Employer Survey % Sent Results:</t>
    </r>
    <r>
      <rPr>
        <sz val="12"/>
        <rFont val="Arial"/>
        <family val="2"/>
      </rPr>
      <t xml:space="preserve">
                  </t>
    </r>
    <r>
      <rPr>
        <b/>
        <sz val="11"/>
        <rFont val="Calibri"/>
        <family val="2"/>
        <scheme val="minor"/>
      </rPr>
      <t xml:space="preserve">Employer Survey -% Sent =    </t>
    </r>
    <r>
      <rPr>
        <sz val="11"/>
        <rFont val="Calibri"/>
        <family val="2"/>
        <scheme val="minor"/>
      </rPr>
      <t>No percentage for Employer Surveys Sent; however, an Analysis and Action Plan must be provided.</t>
    </r>
  </si>
  <si>
    <t>Total Graduates in Reporting Year</t>
  </si>
  <si>
    <r>
      <rPr>
        <sz val="12"/>
        <rFont val="Calibri"/>
        <family val="2"/>
        <scheme val="minor"/>
      </rPr>
      <t>(For informational purposes only to check for accuracy)
Manually Calculate Graduate Survey % Sent Results:</t>
    </r>
    <r>
      <rPr>
        <sz val="12"/>
        <rFont val="Arial"/>
        <family val="2"/>
      </rPr>
      <t xml:space="preserve">
                  </t>
    </r>
    <r>
      <rPr>
        <b/>
        <sz val="11"/>
        <rFont val="Calibri"/>
        <family val="2"/>
        <scheme val="minor"/>
      </rPr>
      <t xml:space="preserve">Graduate Survey -% Sent =    </t>
    </r>
    <r>
      <rPr>
        <sz val="11"/>
        <rFont val="Calibri"/>
        <family val="2"/>
        <scheme val="minor"/>
      </rPr>
      <t>No percentage for Graduate Surveys Sent/Received; however, an Analysis and Action Plan must be provided.</t>
    </r>
  </si>
  <si>
    <t>National Registry / State Written 
Pass Rate Success</t>
  </si>
  <si>
    <r>
      <rPr>
        <sz val="12"/>
        <rFont val="Calibri"/>
        <family val="2"/>
        <scheme val="minor"/>
      </rPr>
      <t>(For informational purposes only to check for accuracy)
Manually Calculate NREMT/State Written Examination Results:</t>
    </r>
    <r>
      <rPr>
        <sz val="12"/>
        <rFont val="Arial"/>
        <family val="2"/>
      </rPr>
      <t xml:space="preserve">
                  </t>
    </r>
    <r>
      <rPr>
        <b/>
        <sz val="11"/>
        <rFont val="Calibri"/>
        <family val="2"/>
        <scheme val="minor"/>
      </rPr>
      <t xml:space="preserve">NREMT Pass Rate Success =         </t>
    </r>
    <r>
      <rPr>
        <u/>
        <sz val="11"/>
        <rFont val="Calibri"/>
        <family val="2"/>
        <scheme val="minor"/>
      </rPr>
      <t xml:space="preserve">                                 3rd attempt cumulative                                   </t>
    </r>
    <r>
      <rPr>
        <sz val="11"/>
        <rFont val="Calibri"/>
        <family val="2"/>
        <scheme val="minor"/>
      </rPr>
      <t xml:space="preserve">
                                                                                        # of total graduates attempting the written examination </t>
    </r>
  </si>
  <si>
    <t>(hours)</t>
  </si>
  <si>
    <t>(months)</t>
  </si>
  <si>
    <t>Capstone Field Internship</t>
  </si>
  <si>
    <t xml:space="preserve">Clinical (in-hospital, clinics, etc.) </t>
  </si>
  <si>
    <t>10)</t>
  </si>
  <si>
    <t>Field Experience
(not including Capstone)</t>
  </si>
  <si>
    <t>Associate Degree</t>
  </si>
  <si>
    <t>Baccalaureate Degree</t>
  </si>
  <si>
    <t>%  Total</t>
  </si>
  <si>
    <r>
      <rPr>
        <sz val="12"/>
        <rFont val="Calibri"/>
        <family val="2"/>
        <scheme val="minor"/>
      </rPr>
      <t>(For informational purposes only to check for accuracy)
Manually Calculate Attrition/Retention Results:</t>
    </r>
    <r>
      <rPr>
        <sz val="12"/>
        <rFont val="Arial"/>
        <family val="2"/>
      </rPr>
      <t xml:space="preserve">
                 </t>
    </r>
    <r>
      <rPr>
        <b/>
        <sz val="11"/>
        <color theme="1"/>
        <rFont val="Calibri"/>
        <family val="2"/>
        <scheme val="minor"/>
      </rPr>
      <t xml:space="preserve">Attrition =  </t>
    </r>
    <r>
      <rPr>
        <sz val="11"/>
        <color theme="1"/>
        <rFont val="Calibri"/>
        <family val="2"/>
        <scheme val="minor"/>
      </rPr>
      <t xml:space="preserve">  </t>
    </r>
    <r>
      <rPr>
        <u/>
        <sz val="11"/>
        <color theme="1"/>
        <rFont val="Calibri"/>
        <family val="2"/>
        <scheme val="minor"/>
      </rPr>
      <t xml:space="preserve"> Total # of Academic Reasons + Non-academic Reasons
</t>
    </r>
    <r>
      <rPr>
        <sz val="11"/>
        <color theme="1"/>
        <rFont val="Calibri"/>
        <family val="2"/>
        <scheme val="minor"/>
      </rPr>
      <t xml:space="preserve">                                                                           Total # of Students enrolled
                   </t>
    </r>
    <r>
      <rPr>
        <b/>
        <sz val="11"/>
        <color theme="1"/>
        <rFont val="Calibri"/>
        <family val="2"/>
        <scheme val="minor"/>
      </rPr>
      <t>Retention =</t>
    </r>
    <r>
      <rPr>
        <sz val="11"/>
        <color theme="1"/>
        <rFont val="Calibri"/>
        <family val="2"/>
        <scheme val="minor"/>
      </rPr>
      <t xml:space="preserve">     100% - Attrition</t>
    </r>
  </si>
  <si>
    <t xml:space="preserve">            Annual Report</t>
  </si>
  <si>
    <t>*Number of Graduates continuing education or  
  serving in the military in lieu of employment</t>
  </si>
  <si>
    <t>General Information</t>
  </si>
  <si>
    <t xml:space="preserve">For each group of graduating students, programs are required to conduct surveys intended for graduates who are employed and have been functioning as a Paramedic and their employers within 6-12 months after graduation using the CoAEMSP required graduate survey items.  </t>
  </si>
  <si>
    <t xml:space="preserve">For each group of graduating students, programs are required to conduct surveys intended for graduates who are employed and have been functioning as a Paramedic and their employers within 6-12 months after graduation using the CoAEMSP required employer survey items.  </t>
  </si>
  <si>
    <t xml:space="preserve">NOTE: Students at the satellite location(s) should be identified as a separate cohort(s) on the CoAEMSP Annual Report.   </t>
  </si>
  <si>
    <t xml:space="preserve">SATELLITE RETENTION / ATTRITION </t>
  </si>
  <si>
    <t>Cohorts/Classes</t>
  </si>
  <si>
    <t>Positive Placement</t>
  </si>
  <si>
    <t>The Positive Placement threshold set by the CoAEMSP is 70%.  Positive Placement means that the graduate is employed full or part-time or volunteers in the profession or in a related field; or is continuing his/her education; or is serving in the military.  A related field is one in which the individual is using cognitive, psychomotor, and affective competencies acquired in the Paramedic educational program.</t>
  </si>
  <si>
    <t>Positive Placement Threshold 70%</t>
  </si>
  <si>
    <r>
      <rPr>
        <sz val="12"/>
        <rFont val="Calibri"/>
        <family val="2"/>
        <scheme val="minor"/>
      </rPr>
      <t>(For informational purposes only to check for accuracy)
Manually Calculate Positive Placement Results:</t>
    </r>
    <r>
      <rPr>
        <sz val="12"/>
        <rFont val="Arial"/>
        <family val="2"/>
      </rPr>
      <t xml:space="preserve">
                  </t>
    </r>
    <r>
      <rPr>
        <b/>
        <sz val="11"/>
        <rFont val="Calibri"/>
        <family val="2"/>
        <scheme val="minor"/>
      </rPr>
      <t xml:space="preserve">Positive Placement =    </t>
    </r>
    <r>
      <rPr>
        <u/>
        <sz val="11"/>
        <rFont val="Calibri"/>
        <family val="2"/>
        <scheme val="minor"/>
      </rPr>
      <t xml:space="preserve"> # of graduates employed + # of graduates continuing ed/serving in the military but NOT employed</t>
    </r>
    <r>
      <rPr>
        <sz val="11"/>
        <rFont val="Calibri"/>
        <family val="2"/>
        <scheme val="minor"/>
      </rPr>
      <t xml:space="preserve">
                                                                                                                                                Total Graduates</t>
    </r>
  </si>
  <si>
    <t>No Graduates</t>
  </si>
  <si>
    <t>Satellite Attrition % (ONLY)</t>
  </si>
  <si>
    <t>Satellite Retention % (ONLY)</t>
  </si>
  <si>
    <r>
      <t xml:space="preserve">Satellite </t>
    </r>
    <r>
      <rPr>
        <b/>
        <sz val="12"/>
        <color theme="1"/>
        <rFont val="Calibri"/>
        <family val="2"/>
        <scheme val="minor"/>
      </rPr>
      <t>Academic Reasons for Attrition:</t>
    </r>
    <r>
      <rPr>
        <b/>
        <sz val="11"/>
        <color theme="1"/>
        <rFont val="Calibri"/>
        <family val="2"/>
        <scheme val="minor"/>
      </rPr>
      <t xml:space="preserve">
    </t>
    </r>
    <r>
      <rPr>
        <b/>
        <sz val="12"/>
        <color theme="1"/>
        <rFont val="Calibri"/>
        <family val="2"/>
        <scheme val="minor"/>
      </rPr>
      <t xml:space="preserve"> </t>
    </r>
    <r>
      <rPr>
        <b/>
        <sz val="12"/>
        <color theme="5" tint="-0.249977111117893"/>
        <rFont val="Calibri"/>
        <family val="2"/>
        <scheme val="minor"/>
      </rPr>
      <t>*(answer required for each academic category or results will not calculate.)</t>
    </r>
  </si>
  <si>
    <r>
      <t xml:space="preserve">Satellite </t>
    </r>
    <r>
      <rPr>
        <b/>
        <sz val="12"/>
        <color theme="1"/>
        <rFont val="Calibri"/>
        <family val="2"/>
        <scheme val="minor"/>
      </rPr>
      <t>Non-academic Reasons for Attrition:</t>
    </r>
    <r>
      <rPr>
        <b/>
        <sz val="11"/>
        <color theme="1"/>
        <rFont val="Calibri"/>
        <family val="2"/>
        <scheme val="minor"/>
      </rPr>
      <t xml:space="preserve">
    </t>
    </r>
    <r>
      <rPr>
        <b/>
        <sz val="12"/>
        <color theme="1"/>
        <rFont val="Calibri"/>
        <family val="2"/>
        <scheme val="minor"/>
      </rPr>
      <t xml:space="preserve"> </t>
    </r>
    <r>
      <rPr>
        <b/>
        <sz val="12"/>
        <color theme="5" tint="-0.249977111117893"/>
        <rFont val="Calibri"/>
        <family val="2"/>
        <scheme val="minor"/>
      </rPr>
      <t>*(answer required for each non-academic category or results will not calculate)</t>
    </r>
  </si>
  <si>
    <t>Overall Retention Threshold 70%</t>
  </si>
  <si>
    <t>SATELLITE NATIONAL REGISTRY / STATE WRITTEN EXAMINATION</t>
  </si>
  <si>
    <t>NATIONAL REGISTRY / STATE WRITTEN EXAMINATION</t>
  </si>
  <si>
    <t>SATELLITE POSITIVE PLACEMENT</t>
  </si>
  <si>
    <t>POSITIVE PLACEMENT</t>
  </si>
  <si>
    <t>Overall Positive Placement Threshold 70%</t>
  </si>
  <si>
    <t>Satellite National Registry / 
State Written Pass Rate Success</t>
  </si>
  <si>
    <r>
      <t xml:space="preserve">Total Satellite Graduates in Reporting Year
</t>
    </r>
    <r>
      <rPr>
        <b/>
        <sz val="12"/>
        <color rgb="FF0070C0"/>
        <rFont val="Calibri"/>
        <family val="2"/>
        <scheme val="minor"/>
      </rPr>
      <t xml:space="preserve"> </t>
    </r>
    <r>
      <rPr>
        <b/>
        <sz val="12"/>
        <color theme="5" tint="-0.249977111117893"/>
        <rFont val="Calibri"/>
        <family val="2"/>
        <scheme val="minor"/>
      </rPr>
      <t xml:space="preserve">*(answer required for each category below)
   </t>
    </r>
    <r>
      <rPr>
        <sz val="12"/>
        <rFont val="Calibri"/>
        <family val="2"/>
        <scheme val="minor"/>
      </rPr>
      <t xml:space="preserve"> see definitions by hovering over
    any of the red comment triangle(s)</t>
    </r>
  </si>
  <si>
    <r>
      <t xml:space="preserve">Total Satellite Graduates in Reporting Year
</t>
    </r>
    <r>
      <rPr>
        <b/>
        <sz val="12"/>
        <color theme="5" tint="-0.249977111117893"/>
        <rFont val="Calibri"/>
        <family val="2"/>
        <scheme val="minor"/>
      </rPr>
      <t xml:space="preserve"> *(answer required for each placement
    category)</t>
    </r>
  </si>
  <si>
    <t>Satellite Positive Placement</t>
  </si>
  <si>
    <t>Satellite Location(s)</t>
  </si>
  <si>
    <r>
      <rPr>
        <b/>
        <sz val="12"/>
        <rFont val="Arial"/>
        <family val="2"/>
      </rPr>
      <t xml:space="preserve">*Satellite: </t>
    </r>
    <r>
      <rPr>
        <sz val="12"/>
        <rFont val="Arial"/>
        <family val="2"/>
      </rPr>
      <t>Paramedic program satellite(s) are off-campus location(s) that are advertised or otherwise made known to individuals outside the sponsor. The off-campus location(s) must offer all the professional didactic (which may include any distance education delivery modality) and laboratory content of the program.  Satellite(s) are included in the CAAHEP accreditation of the sponsor and function under the direction of the Key Personnel of the program. The CoAEMSP may establish additional requirements that are consistent with CAAHEP Standards and policies.
Failure to obtain CoAEMSP approval for the satellite location(s) may result in Probationary Accreditation and may lead to a recommendation to CAAHEP for Withdrawal of Accreditation (see CoAEMSP Policy XIIIC).</t>
    </r>
  </si>
  <si>
    <t>Satellite # 1</t>
  </si>
  <si>
    <t>Satellite # 2</t>
  </si>
  <si>
    <t>Satellite # 3</t>
  </si>
  <si>
    <t>Satellite # 4</t>
  </si>
  <si>
    <t>Satellite # 5</t>
  </si>
  <si>
    <t>Satellite # 6</t>
  </si>
  <si>
    <t>Satellite # 7</t>
  </si>
  <si>
    <t>Satellite # 8</t>
  </si>
  <si>
    <t>Satellite # 9</t>
  </si>
  <si>
    <t>Overall National Registry / 
State Written Threshold
70%</t>
  </si>
  <si>
    <r>
      <rPr>
        <sz val="12"/>
        <rFont val="Calibri"/>
        <family val="2"/>
        <scheme val="minor"/>
      </rPr>
      <t>(For informational purposes only to check for accuracy)
Manually Calculate National Registry/State Written Examination Results:</t>
    </r>
    <r>
      <rPr>
        <sz val="12"/>
        <rFont val="Arial"/>
        <family val="2"/>
      </rPr>
      <t xml:space="preserve">
                  </t>
    </r>
    <r>
      <rPr>
        <b/>
        <sz val="11"/>
        <rFont val="Calibri"/>
        <family val="2"/>
        <scheme val="minor"/>
      </rPr>
      <t xml:space="preserve">National Registry Pass Rate Success =         </t>
    </r>
    <r>
      <rPr>
        <u/>
        <sz val="11"/>
        <rFont val="Calibri"/>
        <family val="2"/>
        <scheme val="minor"/>
      </rPr>
      <t xml:space="preserve">                                 3rd attempt cumulative                                   </t>
    </r>
    <r>
      <rPr>
        <sz val="11"/>
        <rFont val="Calibri"/>
        <family val="2"/>
        <scheme val="minor"/>
      </rPr>
      <t xml:space="preserve">
                                                                                                              # of total graduates attempting the written examination </t>
    </r>
  </si>
  <si>
    <t>*Number of Graduates Attempting the 
  Certification Examination or State License 
                   (NREMT + State)</t>
  </si>
  <si>
    <t>*Number passing - 3rd attempt cumulative 
                                        pass rate
                  (First + Second + Third Attempts)</t>
  </si>
  <si>
    <t>*Number passing - First attempt
                   (Informational Only)</t>
  </si>
  <si>
    <t>*Number passing - First attempt
                     (Informational Only)</t>
  </si>
  <si>
    <t>*Number passing - 3rd attempt cumulative 
                                        pass rate
                    (First + Second + Third Attempts)</t>
  </si>
  <si>
    <r>
      <t xml:space="preserve">Total Number of Graduate Surveys Sent
</t>
    </r>
    <r>
      <rPr>
        <b/>
        <sz val="11"/>
        <color theme="5" tint="-0.249977111117893"/>
        <rFont val="Calibri"/>
        <family val="2"/>
        <scheme val="minor"/>
      </rPr>
      <t xml:space="preserve">    (answer required for this category)</t>
    </r>
  </si>
  <si>
    <r>
      <t xml:space="preserve">Total Number of Graduate Surveys Received
</t>
    </r>
    <r>
      <rPr>
        <b/>
        <sz val="11"/>
        <color theme="5" tint="-0.249977111117893"/>
        <rFont val="Calibri"/>
        <family val="2"/>
        <scheme val="minor"/>
      </rPr>
      <t xml:space="preserve">    (answer required for this category)</t>
    </r>
  </si>
  <si>
    <t>REQUIRED: A detailed ACTION PLAN for Graduate Surveys in the box below</t>
  </si>
  <si>
    <t>REQUIRED: A detailed ANALYSIS for Graduate Surveys in the box below</t>
  </si>
  <si>
    <t>REQUIRED: A detailed ANALYSIS for Employer Surveys in the box below</t>
  </si>
  <si>
    <r>
      <rPr>
        <b/>
        <sz val="12"/>
        <color theme="1"/>
        <rFont val="Calibri"/>
        <family val="2"/>
        <scheme val="minor"/>
      </rPr>
      <t>Total Number of Surveys Sent to Employers of 
   Graduates</t>
    </r>
    <r>
      <rPr>
        <b/>
        <sz val="11"/>
        <color theme="1"/>
        <rFont val="Calibri"/>
        <family val="2"/>
        <scheme val="minor"/>
      </rPr>
      <t xml:space="preserve">
</t>
    </r>
    <r>
      <rPr>
        <b/>
        <sz val="11"/>
        <color theme="5" tint="-0.249977111117893"/>
        <rFont val="Calibri"/>
        <family val="2"/>
        <scheme val="minor"/>
      </rPr>
      <t xml:space="preserve">   (answer required for this category)</t>
    </r>
  </si>
  <si>
    <t>REQUIRED: A detailed ACTION PLAN for Employer Surveys in the box below</t>
  </si>
  <si>
    <r>
      <rPr>
        <b/>
        <sz val="12"/>
        <color theme="1"/>
        <rFont val="Calibri"/>
        <family val="2"/>
        <scheme val="minor"/>
      </rPr>
      <t>Total Number of Surveys Returned from 
   Employers of Graduates</t>
    </r>
    <r>
      <rPr>
        <b/>
        <sz val="11"/>
        <color theme="1"/>
        <rFont val="Calibri"/>
        <family val="2"/>
        <scheme val="minor"/>
      </rPr>
      <t xml:space="preserve">
</t>
    </r>
    <r>
      <rPr>
        <b/>
        <sz val="11"/>
        <color theme="5" tint="-0.249977111117893"/>
        <rFont val="Calibri"/>
        <family val="2"/>
        <scheme val="minor"/>
      </rPr>
      <t xml:space="preserve">   (answer required for this category)</t>
    </r>
  </si>
  <si>
    <t>Number enrolled after 10% of total clock hours</t>
  </si>
  <si>
    <r>
      <rPr>
        <sz val="12"/>
        <rFont val="Calibri"/>
        <family val="2"/>
        <scheme val="minor"/>
      </rPr>
      <t>(For informational purposes only to check for accuracy)
Manually Calculate Attrition/Retention Results:</t>
    </r>
    <r>
      <rPr>
        <sz val="12"/>
        <rFont val="Arial"/>
        <family val="2"/>
      </rPr>
      <t xml:space="preserve">
                 </t>
    </r>
    <r>
      <rPr>
        <b/>
        <sz val="11"/>
        <color theme="1"/>
        <rFont val="Calibri"/>
        <family val="2"/>
        <scheme val="minor"/>
      </rPr>
      <t xml:space="preserve">Attrition =  </t>
    </r>
    <r>
      <rPr>
        <sz val="11"/>
        <color theme="1"/>
        <rFont val="Calibri"/>
        <family val="2"/>
        <scheme val="minor"/>
      </rPr>
      <t xml:space="preserve">  </t>
    </r>
    <r>
      <rPr>
        <u/>
        <sz val="11"/>
        <color theme="1"/>
        <rFont val="Calibri"/>
        <family val="2"/>
        <scheme val="minor"/>
      </rPr>
      <t xml:space="preserve"> Total # of Academic Reasons + Non-academic Reasons
</t>
    </r>
    <r>
      <rPr>
        <sz val="11"/>
        <color theme="1"/>
        <rFont val="Calibri"/>
        <family val="2"/>
        <scheme val="minor"/>
      </rPr>
      <t xml:space="preserve">                                                      Number enrolled after 10% of total clock hours
                   </t>
    </r>
    <r>
      <rPr>
        <b/>
        <sz val="11"/>
        <color theme="1"/>
        <rFont val="Calibri"/>
        <family val="2"/>
        <scheme val="minor"/>
      </rPr>
      <t>Retention =</t>
    </r>
    <r>
      <rPr>
        <sz val="11"/>
        <color theme="1"/>
        <rFont val="Calibri"/>
        <family val="2"/>
        <scheme val="minor"/>
      </rPr>
      <t xml:space="preserve">     100% - Attrition</t>
    </r>
  </si>
  <si>
    <t>9)</t>
  </si>
  <si>
    <t xml:space="preserve"> %</t>
  </si>
  <si>
    <t>CAAHEP Standard V.A.4.:</t>
  </si>
  <si>
    <t>Certificate/Diploma</t>
  </si>
  <si>
    <t xml:space="preserve">By selecting "Yes", I attest that the information in this submission is true and correct, and an accurate description of the Paramedic educational program.  </t>
  </si>
  <si>
    <r>
      <rPr>
        <b/>
        <sz val="12"/>
        <color theme="1"/>
        <rFont val="Calibri"/>
        <family val="2"/>
        <scheme val="minor"/>
      </rPr>
      <t>Non-academic Reasons for Attrition (after 10% completion):</t>
    </r>
    <r>
      <rPr>
        <b/>
        <sz val="11"/>
        <color theme="1"/>
        <rFont val="Calibri"/>
        <family val="2"/>
        <scheme val="minor"/>
      </rPr>
      <t xml:space="preserve">
    </t>
    </r>
    <r>
      <rPr>
        <b/>
        <sz val="12"/>
        <color theme="1"/>
        <rFont val="Calibri"/>
        <family val="2"/>
        <scheme val="minor"/>
      </rPr>
      <t xml:space="preserve"> </t>
    </r>
    <r>
      <rPr>
        <b/>
        <sz val="12"/>
        <color theme="5" tint="-0.249977111117893"/>
        <rFont val="Calibri"/>
        <family val="2"/>
        <scheme val="minor"/>
      </rPr>
      <t>*(answer required for each non-academic category or results will not calculate)</t>
    </r>
  </si>
  <si>
    <r>
      <rPr>
        <b/>
        <sz val="12"/>
        <color theme="1"/>
        <rFont val="Calibri"/>
        <family val="2"/>
        <scheme val="minor"/>
      </rPr>
      <t>Academic Reasons for Attrition (after 10% completion):</t>
    </r>
    <r>
      <rPr>
        <b/>
        <sz val="11"/>
        <color theme="1"/>
        <rFont val="Calibri"/>
        <family val="2"/>
        <scheme val="minor"/>
      </rPr>
      <t xml:space="preserve">
    </t>
    </r>
    <r>
      <rPr>
        <b/>
        <sz val="12"/>
        <color theme="1"/>
        <rFont val="Calibri"/>
        <family val="2"/>
        <scheme val="minor"/>
      </rPr>
      <t xml:space="preserve"> </t>
    </r>
    <r>
      <rPr>
        <b/>
        <sz val="12"/>
        <color theme="5" tint="-0.249977111117893"/>
        <rFont val="Calibri"/>
        <family val="2"/>
        <scheme val="minor"/>
      </rPr>
      <t>*(answer required for each academic category or results will not calculate.)</t>
    </r>
  </si>
  <si>
    <t xml:space="preserve">Didactic (classroom, lecture) </t>
  </si>
  <si>
    <t>Laboratory</t>
  </si>
  <si>
    <t>Please note:      All percentage cells must contain a number, should not be 
                                left blank, and cannot exceed 100% when combined.</t>
  </si>
  <si>
    <t>Please note:      The number of clock hours listed below must equal the 
                                total number of clock hours reported in question 1 above.</t>
  </si>
  <si>
    <t>The Positive Placement outcome threshold set by the CoAEMSP is 70%.  Positive Placement means that the graduate is employed full or part-time or volunteers in the profession or in a related field; or is continuing his/her education; or is serving in the military.  A related field is one in which the individual is using cognitive, psychomotor, and affective competencies acquired in the Paramedic educational program.</t>
  </si>
  <si>
    <t>Sponsor/Program:</t>
  </si>
  <si>
    <t>*Number of Graduates Attempting the 
   National Registry or State Written 
   Examination</t>
  </si>
  <si>
    <t xml:space="preserve">RETENTION </t>
  </si>
  <si>
    <t>Hide 9</t>
  </si>
  <si>
    <t>Hide 10</t>
  </si>
  <si>
    <t xml:space="preserve">      Select all that apply</t>
  </si>
  <si>
    <t>All programs (accredited and LoR) must publish their latest annual outcomes results for the National Registry or State Written Exam, Retention, and Placement on the paramedic program's homepage of their website.  At all times, the published results must be consistent with and verifiable by the latest Annual Report of the program.</t>
  </si>
  <si>
    <r>
      <t xml:space="preserve">What percentage of the </t>
    </r>
    <r>
      <rPr>
        <b/>
        <u/>
        <sz val="11"/>
        <rFont val="Calibri"/>
        <family val="2"/>
        <scheme val="minor"/>
      </rPr>
      <t>current (2024)</t>
    </r>
    <r>
      <rPr>
        <sz val="11"/>
        <color theme="1"/>
        <rFont val="Calibri"/>
        <family val="2"/>
        <scheme val="minor"/>
      </rPr>
      <t xml:space="preserve"> Paramedic curriculum is:</t>
    </r>
  </si>
  <si>
    <t>Program Director</t>
  </si>
  <si>
    <t>Is the Program Director a full-time position?</t>
  </si>
  <si>
    <t>In a typical month, what percentage of the Program Director's time is spent on each of the following job duties?</t>
  </si>
  <si>
    <t>Didactic teaching</t>
  </si>
  <si>
    <t>Laboratory/Simulation facilitation</t>
  </si>
  <si>
    <t>Clinical teaching</t>
  </si>
  <si>
    <t>Clinical oversight 
(supervision of clinical teaching)</t>
  </si>
  <si>
    <t>Administration (budget, human 
resources functions, policy development)</t>
  </si>
  <si>
    <t>Curriculum development</t>
  </si>
  <si>
    <t>Other duties</t>
  </si>
  <si>
    <t>Please note:      Percentage cells below must contain a number, should not be 
                                left blank, and must total 100% but cannot exceed it when combined.</t>
  </si>
  <si>
    <t>Please note:      Percentage cells below must contain a number, should not be left blank, 
                                and must total 100% but cannot exceed it when combined.</t>
  </si>
  <si>
    <t>When did you become the Program Director of the current educational program?</t>
  </si>
  <si>
    <t>In my role as the Program Director, I feel supported by the program's supervising administration?</t>
  </si>
  <si>
    <t>In my role as the Program Director, I feel supported by the program's Medical Director?</t>
  </si>
  <si>
    <t>Medical Director</t>
  </si>
  <si>
    <t>Is the current program Medical Director board-certified as an emergency medicine and/or emergency medical services physician?</t>
  </si>
  <si>
    <t>When was the primary program Medical Director appointed to the educational program?</t>
  </si>
  <si>
    <t>What roles does the program Medical Director participate in at the educational program?</t>
  </si>
  <si>
    <t xml:space="preserve">     Didactic teaching</t>
  </si>
  <si>
    <t xml:space="preserve">     Laboratory/Simulation facilitation</t>
  </si>
  <si>
    <t xml:space="preserve">     Clinical teaching</t>
  </si>
  <si>
    <t xml:space="preserve">     Administration 
     (budget, policy development)</t>
  </si>
  <si>
    <t xml:space="preserve">     Curriculum development</t>
  </si>
  <si>
    <t xml:space="preserve">     Student remediation</t>
  </si>
  <si>
    <t xml:space="preserve">Programs (CoAEMSP LoR &amp; CAAHEP accredited) must conduct Resource Assessment at least annually (Standard IIID) and are required to complete a Resource Assessment Matrix (RAM) which includes ten (10) categories [Faculty, Medical Director, Support Personnel, Curriculum, Financial Resources, Facilities, Clinical Resources, Field Internship Resources, Learning Resources, and Physician Interaction].   If programs have identified deficiencies in resources, an action plan and follow up are required to address those deficiencies.  The Advisory Committee should be involved in both assessing the resources and reviewing the result.  All resource assessment documents (i.e. student and personnel surveys, matrix, and data collection spreadsheet) are located in the Resource Assessment section on the Resource Library page of the CoAEMSP website. </t>
  </si>
  <si>
    <t>CoAEMSP Resource Library</t>
  </si>
  <si>
    <r>
      <rPr>
        <b/>
        <sz val="11"/>
        <color theme="1"/>
        <rFont val="Calibri"/>
        <family val="2"/>
        <scheme val="minor"/>
      </rPr>
      <t>Full Onsite (In-Person) Delivery</t>
    </r>
    <r>
      <rPr>
        <sz val="11"/>
        <color theme="1"/>
        <rFont val="Calibri"/>
        <family val="2"/>
        <scheme val="minor"/>
      </rPr>
      <t xml:space="preserve">
(The method of delivery in which all didactic and laboratory instruction is provided at an approved location (on or off campus), where instructors and students interact simultaneously in the same physical location.)</t>
    </r>
  </si>
  <si>
    <r>
      <rPr>
        <b/>
        <sz val="11"/>
        <color theme="1"/>
        <rFont val="Calibri"/>
        <family val="2"/>
        <scheme val="minor"/>
      </rPr>
      <t>Blended (Hybrid) Distance Education Delivery</t>
    </r>
    <r>
      <rPr>
        <sz val="11"/>
        <color theme="1"/>
        <rFont val="Calibri"/>
        <family val="2"/>
        <scheme val="minor"/>
      </rPr>
      <t xml:space="preserve">
(The method of delivery in which all didactic and laboratory instruction is provided using a combination of onsite (in-person) and distance education instruction, which may be synchronous or asynchronous.) </t>
    </r>
  </si>
  <si>
    <t>In a typical week, how many hours does the Program Director work?</t>
  </si>
  <si>
    <t>What is the current annual salary of the Program Director?</t>
  </si>
  <si>
    <t>What is the current annual salary of the program Medical Director?</t>
  </si>
  <si>
    <t xml:space="preserve"> (month, 4-digit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</si>
</sst>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0"/>
    <numFmt numFmtId="166" formatCode="mmm\-yyyy"/>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u/>
      <sz val="11"/>
      <color theme="10"/>
      <name val="Calibri"/>
      <family val="2"/>
      <scheme val="minor"/>
    </font>
    <font>
      <sz val="14"/>
      <color rgb="FF003080"/>
      <name val="Arial"/>
      <family val="2"/>
    </font>
    <font>
      <sz val="11"/>
      <color rgb="FF0070C0"/>
      <name val="Calibri"/>
      <family val="2"/>
      <scheme val="minor"/>
    </font>
    <font>
      <b/>
      <sz val="14"/>
      <color theme="7" tint="-0.499984740745262"/>
      <name val="Arial"/>
      <family val="2"/>
    </font>
    <font>
      <sz val="11"/>
      <color theme="6" tint="-0.499984740745262"/>
      <name val="Calibri"/>
      <family val="2"/>
      <scheme val="minor"/>
    </font>
    <font>
      <b/>
      <sz val="10"/>
      <color theme="1"/>
      <name val="Arial"/>
      <family val="2"/>
    </font>
    <font>
      <sz val="10"/>
      <name val="Arial"/>
      <family val="2"/>
    </font>
    <font>
      <sz val="10"/>
      <color indexed="53"/>
      <name val="Arial"/>
      <family val="2"/>
    </font>
    <font>
      <b/>
      <sz val="8"/>
      <color indexed="81"/>
      <name val="Tahoma"/>
      <family val="2"/>
    </font>
    <font>
      <b/>
      <sz val="10"/>
      <color rgb="FF008000"/>
      <name val="Arial"/>
      <family val="2"/>
    </font>
    <font>
      <b/>
      <sz val="11"/>
      <color rgb="FFC00000"/>
      <name val="Calibri"/>
      <family val="2"/>
      <scheme val="minor"/>
    </font>
    <font>
      <sz val="11"/>
      <color rgb="FF002060"/>
      <name val="Arial"/>
      <family val="2"/>
    </font>
    <font>
      <i/>
      <sz val="11"/>
      <color theme="6" tint="-0.499984740745262"/>
      <name val="Calibri"/>
      <family val="2"/>
      <scheme val="minor"/>
    </font>
    <font>
      <sz val="11"/>
      <name val="Arial"/>
      <family val="2"/>
    </font>
    <font>
      <sz val="11"/>
      <color rgb="FFFF0000"/>
      <name val="Calibri"/>
      <family val="2"/>
      <scheme val="minor"/>
    </font>
    <font>
      <b/>
      <sz val="36"/>
      <color theme="8"/>
      <name val="Calibri"/>
      <family val="2"/>
      <scheme val="minor"/>
    </font>
    <font>
      <b/>
      <sz val="14"/>
      <color rgb="FFC00000"/>
      <name val="Arial"/>
      <family val="2"/>
    </font>
    <font>
      <sz val="12"/>
      <name val="Arial"/>
      <family val="2"/>
    </font>
    <font>
      <b/>
      <sz val="12"/>
      <name val="Arial"/>
      <family val="2"/>
    </font>
    <font>
      <b/>
      <sz val="12"/>
      <color theme="1"/>
      <name val="Calibri"/>
      <family val="2"/>
      <scheme val="minor"/>
    </font>
    <font>
      <b/>
      <sz val="14"/>
      <color theme="0"/>
      <name val="Calibri"/>
      <family val="2"/>
      <scheme val="minor"/>
    </font>
    <font>
      <u/>
      <sz val="14"/>
      <color theme="10"/>
      <name val="Calibri"/>
      <family val="2"/>
      <scheme val="minor"/>
    </font>
    <font>
      <u/>
      <sz val="11"/>
      <color theme="1"/>
      <name val="Calibri"/>
      <family val="2"/>
      <scheme val="minor"/>
    </font>
    <font>
      <b/>
      <sz val="18"/>
      <color theme="8"/>
      <name val="Arial"/>
      <family val="2"/>
    </font>
    <font>
      <b/>
      <sz val="14"/>
      <color theme="1"/>
      <name val="Calibri"/>
      <family val="2"/>
      <scheme val="minor"/>
    </font>
    <font>
      <b/>
      <sz val="18"/>
      <color theme="1"/>
      <name val="Calibri"/>
      <family val="2"/>
      <scheme val="minor"/>
    </font>
    <font>
      <b/>
      <sz val="11"/>
      <name val="Calibri"/>
      <family val="2"/>
      <scheme val="minor"/>
    </font>
    <font>
      <sz val="12"/>
      <name val="Calibri"/>
      <family val="2"/>
      <scheme val="minor"/>
    </font>
    <font>
      <u/>
      <sz val="11"/>
      <name val="Calibri"/>
      <family val="2"/>
      <scheme val="minor"/>
    </font>
    <font>
      <b/>
      <sz val="18"/>
      <color theme="7" tint="-0.499984740745262"/>
      <name val="Calibri"/>
      <family val="2"/>
      <scheme val="minor"/>
    </font>
    <font>
      <b/>
      <sz val="16"/>
      <color rgb="FFC00000"/>
      <name val="Calibri"/>
      <family val="2"/>
      <scheme val="minor"/>
    </font>
    <font>
      <b/>
      <sz val="22"/>
      <name val="Calibri"/>
      <family val="2"/>
      <scheme val="minor"/>
    </font>
    <font>
      <b/>
      <sz val="11"/>
      <color theme="9"/>
      <name val="Calibri"/>
      <family val="2"/>
      <scheme val="minor"/>
    </font>
    <font>
      <sz val="11"/>
      <color theme="8" tint="-0.249977111117893"/>
      <name val="Calibri"/>
      <family val="2"/>
      <scheme val="minor"/>
    </font>
    <font>
      <b/>
      <sz val="11"/>
      <color theme="9" tint="-0.249977111117893"/>
      <name val="Calibri"/>
      <family val="2"/>
      <scheme val="minor"/>
    </font>
    <font>
      <b/>
      <sz val="14"/>
      <color rgb="FF0070C0"/>
      <name val="Calibri"/>
      <family val="2"/>
      <scheme val="minor"/>
    </font>
    <font>
      <b/>
      <sz val="12"/>
      <color rgb="FF0070C0"/>
      <name val="Calibri"/>
      <family val="2"/>
      <scheme val="minor"/>
    </font>
    <font>
      <sz val="11"/>
      <color theme="0" tint="-0.34998626667073579"/>
      <name val="Calibri"/>
      <family val="2"/>
      <scheme val="minor"/>
    </font>
    <font>
      <sz val="10"/>
      <color rgb="FF0070C0"/>
      <name val="Calibri"/>
      <family val="2"/>
      <scheme val="minor"/>
    </font>
    <font>
      <i/>
      <sz val="11"/>
      <color theme="1"/>
      <name val="Calibri"/>
      <family val="2"/>
      <scheme val="minor"/>
    </font>
    <font>
      <sz val="11"/>
      <color theme="10"/>
      <name val="Calibri"/>
      <family val="2"/>
      <scheme val="minor"/>
    </font>
    <font>
      <b/>
      <sz val="11"/>
      <color rgb="FF0070C0"/>
      <name val="Calibri"/>
      <family val="2"/>
      <scheme val="minor"/>
    </font>
    <font>
      <b/>
      <sz val="9"/>
      <color rgb="FF0070C0"/>
      <name val="Calibri"/>
      <family val="2"/>
      <scheme val="minor"/>
    </font>
    <font>
      <b/>
      <sz val="22"/>
      <color theme="1"/>
      <name val="Calibri"/>
      <family val="2"/>
      <scheme val="minor"/>
    </font>
    <font>
      <b/>
      <sz val="22"/>
      <color rgb="FFC00000"/>
      <name val="Calibri"/>
      <family val="2"/>
      <scheme val="minor"/>
    </font>
    <font>
      <b/>
      <sz val="12"/>
      <color theme="5" tint="-0.249977111117893"/>
      <name val="Calibri"/>
      <family val="2"/>
      <scheme val="minor"/>
    </font>
    <font>
      <b/>
      <sz val="11"/>
      <color theme="5" tint="-0.249977111117893"/>
      <name val="Calibri"/>
      <family val="2"/>
      <scheme val="minor"/>
    </font>
    <font>
      <sz val="11"/>
      <color theme="5" tint="-0.249977111117893"/>
      <name val="Calibri"/>
      <family val="2"/>
      <scheme val="minor"/>
    </font>
    <font>
      <b/>
      <sz val="20"/>
      <color theme="1"/>
      <name val="Calibri"/>
      <family val="2"/>
      <scheme val="minor"/>
    </font>
    <font>
      <sz val="11"/>
      <color rgb="FFC00000"/>
      <name val="Calibri"/>
      <family val="2"/>
      <scheme val="minor"/>
    </font>
    <font>
      <sz val="9"/>
      <color indexed="81"/>
      <name val="Tahoma"/>
      <family val="2"/>
    </font>
    <font>
      <b/>
      <sz val="9"/>
      <color indexed="81"/>
      <name val="Tahoma"/>
      <family val="2"/>
    </font>
    <font>
      <b/>
      <sz val="11"/>
      <color theme="8" tint="-0.249977111117893"/>
      <name val="Calibri"/>
      <family val="2"/>
      <scheme val="minor"/>
    </font>
    <font>
      <sz val="14"/>
      <color rgb="FFC00000"/>
      <name val="Calibri"/>
      <family val="2"/>
      <scheme val="minor"/>
    </font>
    <font>
      <sz val="11"/>
      <color theme="0" tint="-0.499984740745262"/>
      <name val="Calibri"/>
      <family val="2"/>
      <scheme val="minor"/>
    </font>
    <font>
      <sz val="10"/>
      <color theme="0"/>
      <name val="Arial"/>
      <family val="2"/>
    </font>
    <font>
      <b/>
      <sz val="11"/>
      <color rgb="FFFF0000"/>
      <name val="Calibri"/>
      <family val="2"/>
      <scheme val="minor"/>
    </font>
    <font>
      <u/>
      <sz val="11"/>
      <color rgb="FF0070C0"/>
      <name val="Calibri"/>
      <family val="2"/>
      <scheme val="minor"/>
    </font>
    <font>
      <b/>
      <sz val="11"/>
      <color theme="0"/>
      <name val="Calibri"/>
      <family val="2"/>
      <scheme val="minor"/>
    </font>
    <font>
      <b/>
      <sz val="11"/>
      <color rgb="FF002060"/>
      <name val="Arial"/>
      <family val="2"/>
    </font>
    <font>
      <b/>
      <sz val="12"/>
      <name val="Calibri"/>
      <family val="2"/>
      <scheme val="minor"/>
    </font>
    <font>
      <i/>
      <sz val="11"/>
      <color rgb="FFFF0000"/>
      <name val="Calibri"/>
      <family val="2"/>
      <scheme val="minor"/>
    </font>
    <font>
      <sz val="12"/>
      <color rgb="FF0070C0"/>
      <name val="Calibri"/>
      <family val="2"/>
      <scheme val="minor"/>
    </font>
    <font>
      <b/>
      <sz val="12"/>
      <color rgb="FFC00000"/>
      <name val="Calibri"/>
      <family val="2"/>
      <scheme val="minor"/>
    </font>
    <font>
      <sz val="22"/>
      <name val="Calibri"/>
      <family val="2"/>
      <scheme val="minor"/>
    </font>
    <font>
      <b/>
      <sz val="28"/>
      <color rgb="FF002060"/>
      <name val="Arial"/>
      <family val="2"/>
    </font>
    <font>
      <b/>
      <sz val="11"/>
      <color theme="1"/>
      <name val="Arial"/>
      <family val="2"/>
    </font>
    <font>
      <b/>
      <sz val="16"/>
      <color theme="1"/>
      <name val="Calibri"/>
      <family val="2"/>
      <scheme val="minor"/>
    </font>
    <font>
      <b/>
      <sz val="22"/>
      <color rgb="FF0070C0"/>
      <name val="Calibri"/>
      <family val="2"/>
      <scheme val="minor"/>
    </font>
    <font>
      <b/>
      <sz val="12"/>
      <color theme="1"/>
      <name val="Arial"/>
      <family val="2"/>
    </font>
    <font>
      <i/>
      <sz val="12"/>
      <color theme="1"/>
      <name val="Calibri"/>
      <family val="2"/>
      <scheme val="minor"/>
    </font>
    <font>
      <b/>
      <sz val="12"/>
      <color theme="0"/>
      <name val="Calibri"/>
      <family val="2"/>
      <scheme val="minor"/>
    </font>
    <font>
      <sz val="22"/>
      <color theme="0"/>
      <name val="Calibri"/>
      <family val="2"/>
      <scheme val="minor"/>
    </font>
    <font>
      <i/>
      <sz val="11"/>
      <name val="Calibri"/>
      <family val="2"/>
      <scheme val="minor"/>
    </font>
    <font>
      <sz val="10"/>
      <color theme="0"/>
      <name val="Calibri"/>
      <family val="2"/>
      <scheme val="minor"/>
    </font>
    <font>
      <sz val="12"/>
      <color theme="1"/>
      <name val="Calibri"/>
      <family val="2"/>
      <scheme val="minor"/>
    </font>
    <font>
      <b/>
      <sz val="11"/>
      <name val="Arial"/>
      <family val="2"/>
    </font>
    <font>
      <i/>
      <sz val="11"/>
      <color theme="0"/>
      <name val="Calibri"/>
      <family val="2"/>
      <scheme val="minor"/>
    </font>
    <font>
      <b/>
      <u/>
      <sz val="11"/>
      <name val="Calibri"/>
      <family val="2"/>
      <scheme val="minor"/>
    </font>
    <font>
      <sz val="14"/>
      <color theme="0"/>
      <name val="Arial"/>
      <family val="2"/>
    </font>
    <font>
      <b/>
      <sz val="10"/>
      <name val="Arial"/>
      <family val="2"/>
    </font>
  </fonts>
  <fills count="2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FF6FB"/>
        <bgColor indexed="64"/>
      </patternFill>
    </fill>
    <fill>
      <patternFill patternType="solid">
        <fgColor indexed="42"/>
        <bgColor indexed="64"/>
      </patternFill>
    </fill>
    <fill>
      <patternFill patternType="solid">
        <fgColor theme="5" tint="0.79998168889431442"/>
        <bgColor indexed="64"/>
      </patternFill>
    </fill>
    <fill>
      <patternFill patternType="solid">
        <fgColor theme="0"/>
        <bgColor indexed="64"/>
      </patternFill>
    </fill>
    <fill>
      <patternFill patternType="solid">
        <fgColor rgb="FFE4D2F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83E7F1"/>
        <bgColor indexed="64"/>
      </patternFill>
    </fill>
    <fill>
      <patternFill patternType="solid">
        <fgColor rgb="FFCFF5F9"/>
        <bgColor indexed="64"/>
      </patternFill>
    </fill>
    <fill>
      <patternFill patternType="solid">
        <fgColor rgb="FFDED8F8"/>
        <bgColor indexed="64"/>
      </patternFill>
    </fill>
    <fill>
      <patternFill patternType="solid">
        <fgColor rgb="FFB8ABEF"/>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E1A7BD"/>
        <bgColor indexed="64"/>
      </patternFill>
    </fill>
    <fill>
      <patternFill patternType="solid">
        <fgColor rgb="FFF4E0E7"/>
        <bgColor indexed="64"/>
      </patternFill>
    </fill>
    <fill>
      <patternFill patternType="solid">
        <fgColor rgb="FFFFF0C5"/>
        <bgColor indexed="64"/>
      </patternFill>
    </fill>
    <fill>
      <patternFill patternType="solid">
        <fgColor rgb="FFD2F3F8"/>
        <bgColor indexed="64"/>
      </patternFill>
    </fill>
    <fill>
      <patternFill patternType="solid">
        <fgColor rgb="FFE6E6FA"/>
        <bgColor indexed="64"/>
      </patternFill>
    </fill>
    <fill>
      <patternFill patternType="solid">
        <fgColor rgb="FFABD8F7"/>
        <bgColor indexed="64"/>
      </patternFill>
    </fill>
    <fill>
      <patternFill patternType="solid">
        <fgColor rgb="FFDCEFFC"/>
        <bgColor indexed="64"/>
      </patternFill>
    </fill>
    <fill>
      <patternFill patternType="solid">
        <fgColor theme="9" tint="0.39997558519241921"/>
        <bgColor indexed="64"/>
      </patternFill>
    </fill>
    <fill>
      <patternFill patternType="solid">
        <fgColor rgb="FF1E284E"/>
        <bgColor indexed="64"/>
      </patternFill>
    </fill>
    <fill>
      <patternFill patternType="solid">
        <fgColor rgb="FFC3CBE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9" fontId="1" fillId="0" borderId="0" applyFont="0" applyFill="0" applyBorder="0" applyAlignment="0" applyProtection="0"/>
  </cellStyleXfs>
  <cellXfs count="864">
    <xf numFmtId="0" fontId="0" fillId="0" borderId="0" xfId="0"/>
    <xf numFmtId="0" fontId="7" fillId="0" borderId="0" xfId="0" applyFont="1" applyAlignment="1">
      <alignment horizontal="center"/>
    </xf>
    <xf numFmtId="0" fontId="0" fillId="0" borderId="0" xfId="0" quotePrefix="1"/>
    <xf numFmtId="0" fontId="3" fillId="0" borderId="0" xfId="0" applyFont="1"/>
    <xf numFmtId="0" fontId="0" fillId="0" borderId="0" xfId="0" applyAlignment="1">
      <alignment horizontal="right"/>
    </xf>
    <xf numFmtId="0" fontId="0" fillId="0" borderId="0" xfId="0" applyAlignment="1">
      <alignment vertical="top"/>
    </xf>
    <xf numFmtId="0" fontId="0" fillId="0" borderId="0" xfId="0"/>
    <xf numFmtId="0" fontId="13" fillId="0" borderId="0" xfId="0" applyFont="1" applyFill="1" applyAlignment="1" applyProtection="1">
      <alignment horizontal="left" vertical="center" wrapText="1" indent="1"/>
    </xf>
    <xf numFmtId="0" fontId="12" fillId="5" borderId="1" xfId="0" applyFont="1" applyFill="1" applyBorder="1" applyAlignment="1" applyProtection="1">
      <alignment horizontal="left" vertical="center" wrapText="1" indent="1"/>
    </xf>
    <xf numFmtId="0" fontId="0" fillId="0" borderId="0" xfId="0" quotePrefix="1" applyAlignment="1">
      <alignment vertical="center"/>
    </xf>
    <xf numFmtId="0" fontId="0" fillId="0" borderId="0" xfId="0"/>
    <xf numFmtId="0" fontId="0" fillId="0" borderId="0" xfId="0" applyAlignment="1">
      <alignment horizontal="center" vertical="center"/>
    </xf>
    <xf numFmtId="0" fontId="0" fillId="0" borderId="0" xfId="0" applyAlignment="1"/>
    <xf numFmtId="0" fontId="20" fillId="0" borderId="0" xfId="0" applyFont="1"/>
    <xf numFmtId="0" fontId="0" fillId="0" borderId="0" xfId="0" applyAlignment="1">
      <alignment vertical="center"/>
    </xf>
    <xf numFmtId="0" fontId="0" fillId="0" borderId="0" xfId="0"/>
    <xf numFmtId="0" fontId="0" fillId="0" borderId="0" xfId="0"/>
    <xf numFmtId="0" fontId="11" fillId="0" borderId="0" xfId="0" applyFont="1" applyAlignment="1">
      <alignment horizontal="center" vertical="center" wrapText="1"/>
    </xf>
    <xf numFmtId="0" fontId="11"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center"/>
    </xf>
    <xf numFmtId="0" fontId="0" fillId="0" borderId="0" xfId="0"/>
    <xf numFmtId="0" fontId="18" fillId="0" borderId="0" xfId="0" applyFont="1"/>
    <xf numFmtId="0" fontId="0" fillId="0" borderId="0" xfId="0"/>
    <xf numFmtId="0" fontId="2" fillId="11" borderId="1" xfId="0" applyFont="1" applyFill="1" applyBorder="1" applyAlignment="1">
      <alignment horizontal="center" vertical="center" wrapText="1"/>
    </xf>
    <xf numFmtId="0" fontId="2" fillId="11" borderId="1" xfId="0" applyFont="1" applyFill="1" applyBorder="1" applyAlignment="1">
      <alignment horizontal="center" wrapText="1"/>
    </xf>
    <xf numFmtId="0" fontId="2" fillId="7" borderId="14" xfId="0" applyFont="1" applyFill="1" applyBorder="1" applyAlignment="1">
      <alignment vertical="center"/>
    </xf>
    <xf numFmtId="0" fontId="2" fillId="12" borderId="1" xfId="0" applyFont="1" applyFill="1" applyBorder="1" applyAlignment="1">
      <alignment horizontal="center" vertical="center" wrapText="1"/>
    </xf>
    <xf numFmtId="0" fontId="9" fillId="12" borderId="11" xfId="0" applyFont="1" applyFill="1" applyBorder="1"/>
    <xf numFmtId="0" fontId="9" fillId="12" borderId="13" xfId="0" applyFont="1" applyFill="1" applyBorder="1"/>
    <xf numFmtId="0" fontId="30" fillId="0" borderId="4" xfId="0" applyFont="1" applyBorder="1" applyAlignment="1" applyProtection="1">
      <alignment horizontal="center" vertical="center"/>
    </xf>
    <xf numFmtId="0" fontId="9" fillId="9" borderId="11" xfId="0" applyFont="1" applyFill="1" applyBorder="1" applyAlignment="1">
      <alignment vertical="center"/>
    </xf>
    <xf numFmtId="0" fontId="9" fillId="9" borderId="13" xfId="0" applyFont="1" applyFill="1" applyBorder="1" applyAlignment="1">
      <alignment vertical="center"/>
    </xf>
    <xf numFmtId="0" fontId="9" fillId="15" borderId="10" xfId="0" applyFont="1" applyFill="1" applyBorder="1" applyAlignment="1">
      <alignment vertical="center"/>
    </xf>
    <xf numFmtId="0" fontId="9" fillId="15" borderId="11" xfId="0" applyFont="1" applyFill="1" applyBorder="1"/>
    <xf numFmtId="0" fontId="9" fillId="15" borderId="13" xfId="0" applyFont="1" applyFill="1" applyBorder="1"/>
    <xf numFmtId="0" fontId="0" fillId="0" borderId="0" xfId="0"/>
    <xf numFmtId="0" fontId="0" fillId="0" borderId="0" xfId="0" applyAlignment="1">
      <alignment vertical="center"/>
    </xf>
    <xf numFmtId="0" fontId="0" fillId="0" borderId="0" xfId="0"/>
    <xf numFmtId="0" fontId="35" fillId="9" borderId="10" xfId="0" applyFont="1" applyFill="1" applyBorder="1" applyAlignment="1">
      <alignment vertical="center"/>
    </xf>
    <xf numFmtId="0" fontId="35" fillId="12" borderId="10" xfId="0" applyFont="1" applyFill="1" applyBorder="1" applyAlignment="1">
      <alignment vertical="center"/>
    </xf>
    <xf numFmtId="0" fontId="2" fillId="7" borderId="3" xfId="0" applyFont="1" applyFill="1" applyBorder="1" applyAlignment="1">
      <alignment vertical="center"/>
    </xf>
    <xf numFmtId="0" fontId="0" fillId="0" borderId="0" xfId="0"/>
    <xf numFmtId="0" fontId="0" fillId="0" borderId="0" xfId="0"/>
    <xf numFmtId="0" fontId="0" fillId="0" borderId="0" xfId="0" quotePrefix="1" applyNumberFormat="1"/>
    <xf numFmtId="0" fontId="30" fillId="0" borderId="4" xfId="0" applyFont="1" applyBorder="1" applyAlignment="1">
      <alignment horizontal="center" vertical="center"/>
    </xf>
    <xf numFmtId="0" fontId="0" fillId="0" borderId="0" xfId="0"/>
    <xf numFmtId="0" fontId="9" fillId="17" borderId="10" xfId="0" applyFont="1" applyFill="1" applyBorder="1" applyAlignment="1">
      <alignment vertical="center"/>
    </xf>
    <xf numFmtId="0" fontId="9" fillId="17" borderId="11" xfId="0" applyFont="1" applyFill="1" applyBorder="1"/>
    <xf numFmtId="0" fontId="9" fillId="17" borderId="13" xfId="0" applyFont="1" applyFill="1" applyBorder="1"/>
    <xf numFmtId="0" fontId="0" fillId="0" borderId="0" xfId="0"/>
    <xf numFmtId="0" fontId="30" fillId="6" borderId="0" xfId="0" applyFont="1" applyFill="1" applyAlignment="1">
      <alignment vertical="center"/>
    </xf>
    <xf numFmtId="0" fontId="30" fillId="7" borderId="0" xfId="0" applyFont="1" applyFill="1" applyAlignment="1">
      <alignment vertical="center"/>
    </xf>
    <xf numFmtId="0" fontId="30" fillId="7" borderId="0" xfId="0" applyFont="1" applyFill="1" applyAlignment="1">
      <alignment vertical="center"/>
    </xf>
    <xf numFmtId="0" fontId="25" fillId="0" borderId="0" xfId="0" applyFont="1"/>
    <xf numFmtId="0" fontId="16" fillId="0" borderId="0" xfId="0" applyFont="1" applyAlignment="1">
      <alignment wrapText="1"/>
    </xf>
    <xf numFmtId="0" fontId="20" fillId="7" borderId="0" xfId="0" applyFont="1" applyFill="1"/>
    <xf numFmtId="0" fontId="2" fillId="7" borderId="0" xfId="0" applyFont="1" applyFill="1" applyBorder="1" applyAlignment="1">
      <alignment vertical="center"/>
    </xf>
    <xf numFmtId="0" fontId="0" fillId="0" borderId="0" xfId="0"/>
    <xf numFmtId="0" fontId="2" fillId="7" borderId="3" xfId="0" applyFont="1" applyFill="1" applyBorder="1" applyAlignment="1">
      <alignment vertical="center"/>
    </xf>
    <xf numFmtId="0" fontId="2" fillId="7" borderId="12" xfId="0" applyFont="1" applyFill="1" applyBorder="1" applyAlignment="1">
      <alignment vertical="center"/>
    </xf>
    <xf numFmtId="0" fontId="2" fillId="20" borderId="12" xfId="0" applyFont="1" applyFill="1" applyBorder="1" applyAlignment="1">
      <alignment vertical="center"/>
    </xf>
    <xf numFmtId="0" fontId="2" fillId="20" borderId="0" xfId="0" applyFont="1" applyFill="1" applyBorder="1" applyAlignment="1">
      <alignment vertical="center"/>
    </xf>
    <xf numFmtId="0" fontId="2" fillId="20" borderId="15" xfId="0" applyFont="1" applyFill="1" applyBorder="1" applyAlignment="1">
      <alignment vertical="center"/>
    </xf>
    <xf numFmtId="0" fontId="2" fillId="20" borderId="3" xfId="0" applyFont="1" applyFill="1" applyBorder="1" applyAlignment="1">
      <alignment vertical="center"/>
    </xf>
    <xf numFmtId="0" fontId="25" fillId="20" borderId="12" xfId="0" applyFont="1" applyFill="1" applyBorder="1" applyAlignment="1">
      <alignment horizontal="center" vertical="center"/>
    </xf>
    <xf numFmtId="14" fontId="0" fillId="7" borderId="15" xfId="0" applyNumberFormat="1" applyFill="1" applyBorder="1" applyAlignment="1" applyProtection="1">
      <alignment horizontal="center" vertical="center"/>
      <protection locked="0"/>
    </xf>
    <xf numFmtId="14" fontId="0" fillId="7" borderId="12" xfId="0" applyNumberFormat="1" applyFill="1" applyBorder="1" applyAlignment="1">
      <alignment horizontal="center" vertical="center"/>
    </xf>
    <xf numFmtId="14" fontId="0" fillId="21" borderId="2" xfId="0" applyNumberFormat="1" applyFill="1" applyBorder="1" applyAlignment="1" applyProtection="1">
      <alignment horizontal="center" vertical="center"/>
    </xf>
    <xf numFmtId="14" fontId="0" fillId="21" borderId="13" xfId="0" applyNumberFormat="1" applyFill="1" applyBorder="1" applyAlignment="1">
      <alignment horizontal="center" vertical="center"/>
    </xf>
    <xf numFmtId="0" fontId="30" fillId="7" borderId="4" xfId="0" applyFont="1" applyFill="1" applyBorder="1" applyAlignment="1" applyProtection="1">
      <alignment horizontal="center" vertical="center"/>
    </xf>
    <xf numFmtId="0" fontId="39" fillId="20" borderId="12" xfId="0" applyFont="1" applyFill="1" applyBorder="1" applyAlignment="1">
      <alignment horizontal="center" vertical="center"/>
    </xf>
    <xf numFmtId="0" fontId="39" fillId="7" borderId="12" xfId="0" applyFont="1" applyFill="1" applyBorder="1" applyAlignment="1">
      <alignment horizontal="center" vertical="center"/>
    </xf>
    <xf numFmtId="0" fontId="39" fillId="7" borderId="15" xfId="0" applyFont="1" applyFill="1" applyBorder="1" applyAlignment="1">
      <alignment horizontal="center" vertical="center"/>
    </xf>
    <xf numFmtId="0" fontId="39" fillId="20" borderId="15" xfId="0" applyFont="1" applyFill="1" applyBorder="1" applyAlignment="1">
      <alignment horizontal="center" vertical="center"/>
    </xf>
    <xf numFmtId="0" fontId="32" fillId="7" borderId="4" xfId="0" applyFont="1" applyFill="1" applyBorder="1" applyAlignment="1" applyProtection="1">
      <alignment horizontal="center" vertical="center"/>
    </xf>
    <xf numFmtId="14" fontId="0" fillId="20" borderId="2" xfId="0" applyNumberFormat="1" applyFont="1" applyFill="1" applyBorder="1" applyAlignment="1" applyProtection="1">
      <alignment horizontal="center" vertical="center"/>
      <protection locked="0"/>
    </xf>
    <xf numFmtId="0" fontId="2" fillId="22" borderId="3" xfId="0" applyFont="1" applyFill="1" applyBorder="1" applyAlignment="1">
      <alignment vertical="center"/>
    </xf>
    <xf numFmtId="0" fontId="2" fillId="22" borderId="0" xfId="0" applyFont="1" applyFill="1" applyBorder="1" applyAlignment="1">
      <alignment vertical="center"/>
    </xf>
    <xf numFmtId="0" fontId="0" fillId="0" borderId="0" xfId="0"/>
    <xf numFmtId="0" fontId="2" fillId="0" borderId="0" xfId="0" applyFont="1" applyAlignment="1">
      <alignment vertical="top"/>
    </xf>
    <xf numFmtId="0" fontId="2" fillId="0" borderId="0" xfId="0" applyFont="1" applyAlignment="1">
      <alignment horizontal="center" vertical="center"/>
    </xf>
    <xf numFmtId="0" fontId="16" fillId="0" borderId="0" xfId="0" applyFont="1" applyAlignment="1">
      <alignment vertical="top" wrapText="1"/>
    </xf>
    <xf numFmtId="0" fontId="2" fillId="0" borderId="0" xfId="0" applyFont="1" applyAlignment="1">
      <alignment vertical="top" wrapText="1"/>
    </xf>
    <xf numFmtId="0" fontId="30" fillId="7" borderId="0" xfId="0" applyFont="1" applyFill="1" applyAlignment="1">
      <alignment vertical="center"/>
    </xf>
    <xf numFmtId="0" fontId="0" fillId="0" borderId="0" xfId="0"/>
    <xf numFmtId="0" fontId="2" fillId="7" borderId="3" xfId="0" applyFont="1" applyFill="1" applyBorder="1" applyAlignment="1">
      <alignment vertical="center"/>
    </xf>
    <xf numFmtId="0" fontId="30" fillId="7" borderId="0" xfId="0" applyFont="1" applyFill="1" applyBorder="1" applyAlignment="1">
      <alignment vertical="center"/>
    </xf>
    <xf numFmtId="0" fontId="16" fillId="0" borderId="0" xfId="0" applyFont="1" applyAlignment="1">
      <alignment vertical="top"/>
    </xf>
    <xf numFmtId="0" fontId="0" fillId="0" borderId="0" xfId="0"/>
    <xf numFmtId="0" fontId="35" fillId="23" borderId="10" xfId="0" applyFont="1" applyFill="1" applyBorder="1" applyAlignment="1">
      <alignment vertical="center"/>
    </xf>
    <xf numFmtId="0" fontId="9" fillId="23" borderId="11" xfId="0" applyFont="1" applyFill="1" applyBorder="1"/>
    <xf numFmtId="0" fontId="9" fillId="23" borderId="13" xfId="0" applyFont="1" applyFill="1" applyBorder="1"/>
    <xf numFmtId="0" fontId="2" fillId="23" borderId="1" xfId="0" applyFont="1" applyFill="1" applyBorder="1" applyAlignment="1">
      <alignment horizontal="center" vertical="center" wrapText="1"/>
    </xf>
    <xf numFmtId="14" fontId="0" fillId="24" borderId="2" xfId="0" applyNumberFormat="1" applyFill="1" applyBorder="1" applyAlignment="1" applyProtection="1">
      <alignment horizontal="center" vertical="center"/>
    </xf>
    <xf numFmtId="14" fontId="0" fillId="24" borderId="13" xfId="0" applyNumberFormat="1" applyFill="1" applyBorder="1" applyAlignment="1">
      <alignment horizontal="center" vertical="center"/>
    </xf>
    <xf numFmtId="0" fontId="0" fillId="0" borderId="0" xfId="0"/>
    <xf numFmtId="0" fontId="15" fillId="0" borderId="0" xfId="0" applyFont="1" applyFill="1" applyBorder="1" applyAlignment="1" applyProtection="1">
      <alignment vertical="center" wrapText="1"/>
    </xf>
    <xf numFmtId="0" fontId="0" fillId="0" borderId="0" xfId="0"/>
    <xf numFmtId="0" fontId="0" fillId="0" borderId="0" xfId="0"/>
    <xf numFmtId="0" fontId="41" fillId="4" borderId="1" xfId="0" applyFont="1" applyFill="1" applyBorder="1" applyAlignment="1" applyProtection="1">
      <alignment horizontal="center" vertical="center"/>
      <protection locked="0"/>
    </xf>
    <xf numFmtId="0" fontId="0" fillId="0" borderId="0" xfId="0"/>
    <xf numFmtId="0" fontId="0" fillId="0" borderId="0" xfId="0"/>
    <xf numFmtId="0" fontId="43" fillId="7" borderId="0" xfId="0" applyFont="1" applyFill="1" applyAlignment="1">
      <alignment vertical="center"/>
    </xf>
    <xf numFmtId="0" fontId="43" fillId="0" borderId="0" xfId="0" applyFont="1" applyAlignment="1">
      <alignment vertical="center"/>
    </xf>
    <xf numFmtId="0" fontId="8" fillId="7" borderId="0" xfId="0" applyFont="1" applyFill="1" applyBorder="1" applyAlignment="1" applyProtection="1">
      <alignment horizontal="center" vertical="center"/>
      <protection locked="0"/>
    </xf>
    <xf numFmtId="9" fontId="16" fillId="7" borderId="0" xfId="0" applyNumberFormat="1" applyFont="1" applyFill="1" applyBorder="1" applyAlignment="1" applyProtection="1">
      <alignment horizontal="center" vertical="center"/>
      <protection locked="0"/>
    </xf>
    <xf numFmtId="0" fontId="0" fillId="7" borderId="0" xfId="0" applyFill="1" applyBorder="1" applyAlignment="1">
      <alignment horizontal="center" vertical="center" wrapText="1"/>
    </xf>
    <xf numFmtId="1" fontId="8" fillId="7" borderId="0" xfId="0" applyNumberFormat="1" applyFont="1" applyFill="1" applyBorder="1" applyAlignment="1" applyProtection="1">
      <alignment horizontal="center" vertical="center"/>
      <protection locked="0"/>
    </xf>
    <xf numFmtId="1" fontId="8" fillId="7" borderId="0" xfId="0" applyNumberFormat="1" applyFont="1" applyFill="1" applyBorder="1" applyProtection="1">
      <protection locked="0"/>
    </xf>
    <xf numFmtId="0" fontId="8" fillId="7" borderId="0"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wrapText="1"/>
      <protection locked="0"/>
    </xf>
    <xf numFmtId="0" fontId="0" fillId="0" borderId="0" xfId="0"/>
    <xf numFmtId="0" fontId="18" fillId="0" borderId="0" xfId="0" applyFont="1" applyAlignment="1"/>
    <xf numFmtId="0" fontId="2" fillId="7" borderId="0" xfId="0" applyFont="1" applyFill="1" applyBorder="1" applyAlignment="1">
      <alignment vertical="center"/>
    </xf>
    <xf numFmtId="0" fontId="0" fillId="0" borderId="0" xfId="0"/>
    <xf numFmtId="0" fontId="2" fillId="7" borderId="3" xfId="0" applyFont="1" applyFill="1" applyBorder="1" applyAlignment="1">
      <alignment vertical="center"/>
    </xf>
    <xf numFmtId="0" fontId="9" fillId="25" borderId="10" xfId="0" applyFont="1" applyFill="1" applyBorder="1" applyAlignment="1">
      <alignment vertical="center"/>
    </xf>
    <xf numFmtId="0" fontId="9" fillId="25" borderId="11" xfId="0" applyFont="1" applyFill="1" applyBorder="1"/>
    <xf numFmtId="0" fontId="9" fillId="25" borderId="13" xfId="0" applyFont="1" applyFill="1" applyBorder="1"/>
    <xf numFmtId="0" fontId="2" fillId="25" borderId="1" xfId="0" applyFont="1" applyFill="1" applyBorder="1" applyAlignment="1">
      <alignment horizontal="center" vertical="center" wrapText="1"/>
    </xf>
    <xf numFmtId="0" fontId="2" fillId="3" borderId="3" xfId="0" applyFont="1" applyFill="1" applyBorder="1" applyAlignment="1">
      <alignment vertical="center"/>
    </xf>
    <xf numFmtId="0" fontId="2" fillId="3" borderId="0" xfId="0" applyFont="1" applyFill="1" applyBorder="1" applyAlignment="1">
      <alignment vertical="center"/>
    </xf>
    <xf numFmtId="0" fontId="0" fillId="0" borderId="0" xfId="0"/>
    <xf numFmtId="0" fontId="41" fillId="4" borderId="1" xfId="0" applyFont="1" applyFill="1" applyBorder="1" applyAlignment="1" applyProtection="1">
      <alignment horizontal="left" vertical="center"/>
      <protection locked="0"/>
    </xf>
    <xf numFmtId="0" fontId="2" fillId="20" borderId="0" xfId="0" applyFont="1" applyFill="1" applyBorder="1" applyAlignment="1">
      <alignment vertical="center"/>
    </xf>
    <xf numFmtId="0" fontId="2" fillId="7" borderId="12" xfId="0" applyFont="1" applyFill="1" applyBorder="1" applyAlignment="1">
      <alignment vertical="center"/>
    </xf>
    <xf numFmtId="0" fontId="25" fillId="20" borderId="14" xfId="0" applyFont="1" applyFill="1" applyBorder="1" applyAlignment="1">
      <alignment horizontal="center" vertical="center"/>
    </xf>
    <xf numFmtId="0" fontId="2" fillId="20" borderId="14" xfId="0" applyFont="1" applyFill="1" applyBorder="1" applyAlignment="1">
      <alignment vertical="center"/>
    </xf>
    <xf numFmtId="0" fontId="47" fillId="7" borderId="0" xfId="0" applyFont="1" applyFill="1" applyBorder="1" applyAlignment="1">
      <alignment vertical="center"/>
    </xf>
    <xf numFmtId="14" fontId="0" fillId="0" borderId="4" xfId="0" applyNumberFormat="1" applyBorder="1" applyAlignment="1" applyProtection="1">
      <alignment horizontal="center" vertical="center"/>
    </xf>
    <xf numFmtId="14" fontId="0" fillId="0" borderId="14" xfId="0" applyNumberFormat="1" applyBorder="1" applyAlignment="1">
      <alignment horizontal="center" vertical="center"/>
    </xf>
    <xf numFmtId="0" fontId="2" fillId="21" borderId="0" xfId="0" applyFont="1" applyFill="1" applyBorder="1" applyAlignment="1" applyProtection="1">
      <alignment horizontal="center" vertical="center"/>
    </xf>
    <xf numFmtId="0" fontId="47" fillId="7" borderId="12" xfId="0" applyFont="1" applyFill="1" applyBorder="1" applyAlignment="1">
      <alignment vertical="center"/>
    </xf>
    <xf numFmtId="0" fontId="2" fillId="24" borderId="0" xfId="0" applyFont="1" applyFill="1" applyBorder="1" applyAlignment="1" applyProtection="1">
      <alignment horizontal="center" vertical="center"/>
    </xf>
    <xf numFmtId="0" fontId="2" fillId="24" borderId="5" xfId="0" applyFont="1" applyFill="1" applyBorder="1" applyAlignment="1">
      <alignment vertical="center"/>
    </xf>
    <xf numFmtId="0" fontId="47" fillId="22" borderId="0" xfId="0" applyFont="1" applyFill="1" applyBorder="1" applyAlignment="1">
      <alignment vertical="center"/>
    </xf>
    <xf numFmtId="0" fontId="0" fillId="22" borderId="0" xfId="0" applyFill="1" applyBorder="1" applyAlignment="1" applyProtection="1">
      <alignment horizontal="center" vertical="center"/>
    </xf>
    <xf numFmtId="0" fontId="8" fillId="0" borderId="1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22" borderId="15" xfId="0" applyFont="1" applyFill="1" applyBorder="1" applyAlignment="1" applyProtection="1">
      <alignment horizontal="center" vertical="center"/>
      <protection locked="0"/>
    </xf>
    <xf numFmtId="0" fontId="8" fillId="22" borderId="12"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13" xfId="0" applyFont="1" applyBorder="1" applyAlignment="1">
      <alignment horizontal="center" vertical="center"/>
    </xf>
    <xf numFmtId="0" fontId="2" fillId="0" borderId="4" xfId="0" applyFont="1" applyBorder="1" applyAlignment="1" applyProtection="1">
      <alignment horizontal="center" vertical="center"/>
    </xf>
    <xf numFmtId="0" fontId="0" fillId="3" borderId="0" xfId="0" applyFill="1" applyBorder="1" applyAlignment="1" applyProtection="1">
      <alignment horizontal="center" vertical="center"/>
    </xf>
    <xf numFmtId="0" fontId="8" fillId="3" borderId="15" xfId="0" applyFont="1" applyFill="1" applyBorder="1" applyAlignment="1" applyProtection="1">
      <alignment horizontal="center" vertical="center"/>
      <protection locked="0"/>
    </xf>
    <xf numFmtId="0" fontId="8" fillId="3" borderId="12" xfId="0" applyFont="1" applyFill="1" applyBorder="1" applyAlignment="1">
      <alignment horizontal="center" vertical="center"/>
    </xf>
    <xf numFmtId="0" fontId="47" fillId="3" borderId="0" xfId="0" applyFont="1" applyFill="1" applyBorder="1" applyAlignment="1">
      <alignment vertical="center"/>
    </xf>
    <xf numFmtId="0" fontId="0" fillId="3" borderId="9" xfId="0" applyFill="1" applyBorder="1" applyAlignment="1" applyProtection="1">
      <alignment horizontal="center" vertical="center"/>
    </xf>
    <xf numFmtId="0" fontId="0" fillId="22" borderId="9" xfId="0" applyFill="1" applyBorder="1" applyAlignment="1" applyProtection="1">
      <alignment horizontal="center" vertical="center"/>
    </xf>
    <xf numFmtId="0" fontId="30" fillId="24" borderId="9" xfId="0" applyFont="1" applyFill="1" applyBorder="1" applyAlignment="1" applyProtection="1">
      <alignment horizontal="center" vertical="center"/>
    </xf>
    <xf numFmtId="0" fontId="0" fillId="3" borderId="13" xfId="0" applyFill="1" applyBorder="1" applyAlignment="1" applyProtection="1">
      <alignment horizontal="center" vertical="center"/>
    </xf>
    <xf numFmtId="0" fontId="9" fillId="25" borderId="0" xfId="0" applyFont="1" applyFill="1"/>
    <xf numFmtId="0" fontId="0" fillId="25" borderId="0" xfId="0" applyFill="1"/>
    <xf numFmtId="0" fontId="10" fillId="25" borderId="0" xfId="0" applyFont="1" applyFill="1"/>
    <xf numFmtId="0" fontId="9" fillId="10" borderId="0" xfId="0" applyFont="1" applyFill="1"/>
    <xf numFmtId="0" fontId="0" fillId="10" borderId="0" xfId="0" applyFill="1"/>
    <xf numFmtId="0" fontId="10" fillId="10" borderId="0" xfId="0" applyFont="1" applyFill="1"/>
    <xf numFmtId="0" fontId="0" fillId="7" borderId="0" xfId="0" applyFill="1"/>
    <xf numFmtId="0" fontId="52" fillId="20" borderId="0" xfId="0" applyFont="1" applyFill="1" applyBorder="1" applyAlignment="1">
      <alignment vertical="center"/>
    </xf>
    <xf numFmtId="0" fontId="52" fillId="7" borderId="0" xfId="0" applyFont="1" applyFill="1" applyBorder="1" applyAlignment="1">
      <alignment vertical="center"/>
    </xf>
    <xf numFmtId="0" fontId="25" fillId="7" borderId="4" xfId="0" applyFont="1" applyFill="1" applyBorder="1" applyAlignment="1">
      <alignment vertical="center"/>
    </xf>
    <xf numFmtId="0" fontId="53" fillId="20" borderId="2" xfId="0" applyFont="1" applyFill="1" applyBorder="1" applyAlignment="1" applyProtection="1">
      <alignment horizontal="center" vertical="center"/>
      <protection locked="0"/>
    </xf>
    <xf numFmtId="0" fontId="53" fillId="20" borderId="13" xfId="0" applyFont="1" applyFill="1" applyBorder="1" applyAlignment="1" applyProtection="1">
      <alignment horizontal="center" vertical="center"/>
      <protection locked="0"/>
    </xf>
    <xf numFmtId="0" fontId="53" fillId="7" borderId="12" xfId="0" applyFont="1" applyFill="1" applyBorder="1" applyAlignment="1" applyProtection="1">
      <alignment horizontal="center" vertical="center"/>
      <protection locked="0"/>
    </xf>
    <xf numFmtId="0" fontId="53" fillId="20" borderId="12" xfId="0" applyFont="1" applyFill="1" applyBorder="1" applyAlignment="1" applyProtection="1">
      <alignment horizontal="center" vertical="center"/>
      <protection locked="0"/>
    </xf>
    <xf numFmtId="0" fontId="53" fillId="7" borderId="2" xfId="0" applyFont="1" applyFill="1" applyBorder="1" applyAlignment="1" applyProtection="1">
      <alignment horizontal="center" vertical="center"/>
      <protection locked="0"/>
    </xf>
    <xf numFmtId="0" fontId="53" fillId="20" borderId="15" xfId="0" applyFont="1" applyFill="1" applyBorder="1" applyAlignment="1" applyProtection="1">
      <alignment horizontal="center" vertical="center"/>
      <protection locked="0"/>
    </xf>
    <xf numFmtId="0" fontId="53" fillId="7" borderId="15" xfId="0" applyFont="1" applyFill="1" applyBorder="1" applyAlignment="1" applyProtection="1">
      <alignment horizontal="center" vertical="center"/>
      <protection locked="0"/>
    </xf>
    <xf numFmtId="0" fontId="53" fillId="7" borderId="13" xfId="0" applyFont="1" applyFill="1" applyBorder="1" applyAlignment="1">
      <alignment horizontal="center" vertical="center"/>
    </xf>
    <xf numFmtId="0" fontId="53" fillId="24" borderId="4" xfId="0" applyFont="1" applyFill="1" applyBorder="1" applyAlignment="1" applyProtection="1">
      <alignment horizontal="center" vertical="center"/>
      <protection locked="0"/>
    </xf>
    <xf numFmtId="0" fontId="53" fillId="24" borderId="14" xfId="0" applyFont="1" applyFill="1" applyBorder="1" applyAlignment="1">
      <alignment horizontal="center" vertical="center"/>
    </xf>
    <xf numFmtId="0" fontId="53" fillId="22" borderId="1" xfId="0" applyFont="1" applyFill="1" applyBorder="1" applyAlignment="1" applyProtection="1">
      <alignment horizontal="center" vertical="center"/>
      <protection locked="0"/>
    </xf>
    <xf numFmtId="0" fontId="0" fillId="0" borderId="0" xfId="0"/>
    <xf numFmtId="0" fontId="2" fillId="7" borderId="3" xfId="0" applyFont="1" applyFill="1" applyBorder="1" applyAlignment="1">
      <alignment vertical="center"/>
    </xf>
    <xf numFmtId="0" fontId="0" fillId="0" borderId="0" xfId="0"/>
    <xf numFmtId="0" fontId="39" fillId="20" borderId="13" xfId="0" applyFont="1" applyFill="1" applyBorder="1" applyAlignment="1">
      <alignment horizontal="center" vertical="center"/>
    </xf>
    <xf numFmtId="0" fontId="25" fillId="7" borderId="12" xfId="0" applyFont="1" applyFill="1" applyBorder="1" applyAlignment="1">
      <alignment horizontal="center" vertical="center"/>
    </xf>
    <xf numFmtId="0" fontId="39" fillId="20" borderId="2" xfId="0" applyFont="1" applyFill="1" applyBorder="1" applyAlignment="1">
      <alignment horizontal="center" vertical="center"/>
    </xf>
    <xf numFmtId="0" fontId="30" fillId="20" borderId="16" xfId="0" applyFont="1" applyFill="1" applyBorder="1" applyAlignment="1">
      <alignment vertical="center"/>
    </xf>
    <xf numFmtId="0" fontId="2" fillId="20" borderId="17" xfId="0" applyFont="1" applyFill="1" applyBorder="1" applyAlignment="1">
      <alignment vertical="center"/>
    </xf>
    <xf numFmtId="0" fontId="25" fillId="20" borderId="16" xfId="0" applyFont="1" applyFill="1" applyBorder="1" applyAlignment="1">
      <alignment horizontal="center" vertical="center"/>
    </xf>
    <xf numFmtId="0" fontId="0" fillId="0" borderId="0" xfId="0" quotePrefix="1" applyAlignment="1">
      <alignment vertical="top"/>
    </xf>
    <xf numFmtId="0" fontId="58" fillId="6" borderId="1" xfId="0" applyFont="1" applyFill="1" applyBorder="1" applyAlignment="1" applyProtection="1">
      <alignment horizontal="center" vertical="center" wrapText="1"/>
      <protection locked="0"/>
    </xf>
    <xf numFmtId="164" fontId="0" fillId="0" borderId="5" xfId="2" applyNumberFormat="1" applyFont="1" applyBorder="1" applyAlignment="1">
      <alignment horizontal="center" vertical="center"/>
    </xf>
    <xf numFmtId="164" fontId="30" fillId="0" borderId="14" xfId="2" applyNumberFormat="1" applyFont="1" applyBorder="1" applyAlignment="1">
      <alignment horizontal="center" vertical="center"/>
    </xf>
    <xf numFmtId="164" fontId="2" fillId="0" borderId="3" xfId="2" applyNumberFormat="1" applyFont="1" applyBorder="1" applyAlignment="1">
      <alignment horizontal="center" vertical="center"/>
    </xf>
    <xf numFmtId="164" fontId="2" fillId="0" borderId="1" xfId="2" applyNumberFormat="1" applyFont="1" applyBorder="1" applyAlignment="1">
      <alignment horizontal="center" vertical="center"/>
    </xf>
    <xf numFmtId="164" fontId="30" fillId="0" borderId="12" xfId="2" applyNumberFormat="1" applyFont="1" applyBorder="1" applyAlignment="1">
      <alignment horizontal="center" vertical="center"/>
    </xf>
    <xf numFmtId="164" fontId="2" fillId="0" borderId="5" xfId="2" applyNumberFormat="1" applyFont="1" applyBorder="1" applyAlignment="1">
      <alignment horizontal="center" vertical="center"/>
    </xf>
    <xf numFmtId="164" fontId="30" fillId="0" borderId="5" xfId="2" applyNumberFormat="1" applyFont="1" applyBorder="1" applyAlignment="1">
      <alignment horizontal="center" vertical="center"/>
    </xf>
    <xf numFmtId="0" fontId="42" fillId="7" borderId="14" xfId="0" applyFont="1" applyFill="1" applyBorder="1" applyAlignment="1">
      <alignment horizontal="center" vertical="center"/>
    </xf>
    <xf numFmtId="0" fontId="42" fillId="20" borderId="9" xfId="0" applyFont="1" applyFill="1" applyBorder="1" applyAlignment="1">
      <alignment horizontal="center" vertical="center"/>
    </xf>
    <xf numFmtId="0" fontId="42" fillId="20" borderId="9" xfId="0" applyFont="1" applyFill="1" applyBorder="1" applyAlignment="1" applyProtection="1">
      <alignment horizontal="center" vertical="center"/>
    </xf>
    <xf numFmtId="0" fontId="47" fillId="7" borderId="14" xfId="0" applyFont="1" applyFill="1" applyBorder="1" applyAlignment="1">
      <alignment horizontal="center" vertical="center"/>
    </xf>
    <xf numFmtId="0" fontId="60" fillId="0" borderId="0" xfId="0" applyFont="1"/>
    <xf numFmtId="0" fontId="0" fillId="0" borderId="0" xfId="0"/>
    <xf numFmtId="0" fontId="2" fillId="0" borderId="0" xfId="0" applyFont="1"/>
    <xf numFmtId="0" fontId="0" fillId="0" borderId="0" xfId="0"/>
    <xf numFmtId="0" fontId="4" fillId="0" borderId="0" xfId="0" applyFont="1"/>
    <xf numFmtId="0" fontId="0" fillId="0" borderId="0" xfId="0" applyFont="1"/>
    <xf numFmtId="0" fontId="0" fillId="0" borderId="0" xfId="0"/>
    <xf numFmtId="0" fontId="20" fillId="0" borderId="0" xfId="0" applyFont="1" applyProtection="1">
      <protection locked="0"/>
    </xf>
    <xf numFmtId="0" fontId="20" fillId="0" borderId="0" xfId="0" applyFont="1" applyAlignment="1">
      <alignment vertical="center"/>
    </xf>
    <xf numFmtId="0" fontId="20" fillId="0" borderId="0" xfId="0" applyFont="1" applyFill="1" applyBorder="1"/>
    <xf numFmtId="0" fontId="62" fillId="0" borderId="0" xfId="0" applyFont="1" applyFill="1" applyBorder="1"/>
    <xf numFmtId="0" fontId="53" fillId="20" borderId="11" xfId="0" applyFont="1" applyFill="1" applyBorder="1" applyAlignment="1">
      <alignment horizontal="right" vertical="center"/>
    </xf>
    <xf numFmtId="0" fontId="53" fillId="7" borderId="12" xfId="0" applyFont="1" applyFill="1" applyBorder="1" applyAlignment="1">
      <alignment horizontal="right" vertical="center"/>
    </xf>
    <xf numFmtId="0" fontId="0" fillId="0" borderId="0" xfId="0" applyAlignment="1" applyProtection="1">
      <alignment vertical="top"/>
      <protection locked="0"/>
    </xf>
    <xf numFmtId="0" fontId="0" fillId="0" borderId="0" xfId="0"/>
    <xf numFmtId="0" fontId="0" fillId="0" borderId="0" xfId="0" applyAlignment="1" applyProtection="1">
      <protection locked="0"/>
    </xf>
    <xf numFmtId="0" fontId="0" fillId="0" borderId="0" xfId="0" applyAlignment="1" applyProtection="1">
      <alignment vertical="center"/>
      <protection locked="0"/>
    </xf>
    <xf numFmtId="0" fontId="0" fillId="0" borderId="0" xfId="0" applyAlignment="1">
      <alignment wrapText="1"/>
    </xf>
    <xf numFmtId="0" fontId="62" fillId="0" borderId="0" xfId="0" applyFont="1" applyAlignment="1">
      <alignment horizontal="center" vertical="center"/>
    </xf>
    <xf numFmtId="0" fontId="3" fillId="0" borderId="0" xfId="0" applyFont="1" applyAlignment="1">
      <alignment horizontal="center" vertical="center"/>
    </xf>
    <xf numFmtId="0" fontId="0" fillId="0" borderId="0" xfId="0"/>
    <xf numFmtId="0" fontId="0" fillId="0" borderId="0" xfId="0"/>
    <xf numFmtId="0" fontId="0" fillId="0" borderId="0" xfId="0"/>
    <xf numFmtId="0" fontId="45" fillId="0" borderId="0" xfId="0" applyFont="1" applyAlignment="1">
      <alignment vertical="center"/>
    </xf>
    <xf numFmtId="0" fontId="62" fillId="7" borderId="0" xfId="0" applyFont="1" applyFill="1" applyAlignment="1">
      <alignment horizontal="center" vertical="center"/>
    </xf>
    <xf numFmtId="0" fontId="16" fillId="0" borderId="0" xfId="0" applyFont="1" applyAlignment="1">
      <alignment horizontal="center" vertical="center"/>
    </xf>
    <xf numFmtId="0" fontId="3" fillId="7" borderId="0" xfId="0" applyFont="1" applyFill="1" applyAlignment="1">
      <alignment horizontal="center" vertical="center"/>
    </xf>
    <xf numFmtId="0" fontId="64" fillId="0" borderId="0" xfId="0" applyFont="1" applyAlignment="1">
      <alignment vertical="center"/>
    </xf>
    <xf numFmtId="0" fontId="3" fillId="0" borderId="0" xfId="0" applyFont="1" applyAlignment="1">
      <alignment horizontal="right"/>
    </xf>
    <xf numFmtId="0" fontId="64" fillId="0" borderId="0" xfId="0" applyFont="1" applyAlignment="1">
      <alignment horizontal="center" vertical="center"/>
    </xf>
    <xf numFmtId="10" fontId="16" fillId="0" borderId="3" xfId="2" applyNumberFormat="1" applyFont="1" applyFill="1" applyBorder="1" applyAlignment="1">
      <alignment horizontal="center" vertical="center"/>
    </xf>
    <xf numFmtId="0" fontId="8" fillId="7" borderId="0" xfId="0" applyFont="1" applyFill="1" applyBorder="1" applyAlignment="1" applyProtection="1">
      <alignment horizontal="center" vertical="center"/>
    </xf>
    <xf numFmtId="10" fontId="16" fillId="0" borderId="0" xfId="2" applyNumberFormat="1" applyFont="1" applyFill="1" applyBorder="1" applyAlignment="1">
      <alignment horizontal="center" vertical="center"/>
    </xf>
    <xf numFmtId="0" fontId="0" fillId="0" borderId="0" xfId="0"/>
    <xf numFmtId="0" fontId="52" fillId="20" borderId="4" xfId="0" applyFont="1" applyFill="1" applyBorder="1" applyAlignment="1">
      <alignment vertical="center"/>
    </xf>
    <xf numFmtId="0" fontId="2" fillId="7" borderId="3" xfId="0" applyFont="1" applyFill="1" applyBorder="1" applyAlignment="1">
      <alignment vertical="center"/>
    </xf>
    <xf numFmtId="0" fontId="0" fillId="0" borderId="0" xfId="0"/>
    <xf numFmtId="0" fontId="67" fillId="0" borderId="0" xfId="0" applyFont="1" applyAlignment="1"/>
    <xf numFmtId="0" fontId="46" fillId="0" borderId="0" xfId="1" applyFont="1" applyAlignment="1">
      <alignment wrapText="1"/>
    </xf>
    <xf numFmtId="0" fontId="46" fillId="0" borderId="0" xfId="1" applyFont="1" applyAlignment="1" applyProtection="1">
      <alignment wrapText="1"/>
      <protection locked="0"/>
    </xf>
    <xf numFmtId="0" fontId="53" fillId="7" borderId="4" xfId="0" applyFont="1" applyFill="1" applyBorder="1" applyAlignment="1" applyProtection="1">
      <alignment horizontal="center" vertical="center"/>
      <protection locked="0"/>
    </xf>
    <xf numFmtId="0" fontId="53" fillId="7" borderId="14" xfId="0" applyFont="1" applyFill="1" applyBorder="1" applyAlignment="1">
      <alignment horizontal="center" vertical="center"/>
    </xf>
    <xf numFmtId="0" fontId="2" fillId="7" borderId="5" xfId="0" applyFont="1" applyFill="1" applyBorder="1" applyAlignment="1">
      <alignment vertical="center"/>
    </xf>
    <xf numFmtId="0" fontId="0" fillId="0" borderId="0" xfId="0"/>
    <xf numFmtId="0" fontId="2" fillId="0" borderId="0" xfId="0" applyFont="1"/>
    <xf numFmtId="0" fontId="2" fillId="21" borderId="3" xfId="0" applyFont="1" applyFill="1" applyBorder="1" applyAlignment="1">
      <alignment vertical="center"/>
    </xf>
    <xf numFmtId="0" fontId="53" fillId="21" borderId="2" xfId="0" applyFont="1" applyFill="1" applyBorder="1" applyAlignment="1" applyProtection="1">
      <alignment horizontal="center" vertical="center"/>
      <protection locked="0"/>
    </xf>
    <xf numFmtId="0" fontId="53" fillId="21" borderId="13" xfId="0" applyFont="1" applyFill="1" applyBorder="1" applyAlignment="1">
      <alignment horizontal="center" vertical="center"/>
    </xf>
    <xf numFmtId="0" fontId="0" fillId="0" borderId="0" xfId="0"/>
    <xf numFmtId="0" fontId="0" fillId="0" borderId="0" xfId="0" applyAlignment="1">
      <alignment horizontal="left"/>
    </xf>
    <xf numFmtId="0" fontId="0" fillId="0" borderId="0" xfId="0"/>
    <xf numFmtId="0" fontId="2" fillId="0" borderId="0" xfId="0" applyFont="1" applyAlignment="1">
      <alignment horizontal="center"/>
    </xf>
    <xf numFmtId="0" fontId="2" fillId="0" borderId="0" xfId="0" applyFont="1" applyAlignment="1">
      <alignment wrapText="1"/>
    </xf>
    <xf numFmtId="0" fontId="2" fillId="0" borderId="0" xfId="0" applyFont="1" applyAlignment="1"/>
    <xf numFmtId="0" fontId="6" fillId="0" borderId="0" xfId="1" quotePrefix="1" applyFill="1" applyBorder="1"/>
    <xf numFmtId="0" fontId="0" fillId="0" borderId="0" xfId="0"/>
    <xf numFmtId="0" fontId="45" fillId="0" borderId="0" xfId="0" applyFont="1" applyAlignment="1">
      <alignment horizontal="left" vertical="center"/>
    </xf>
    <xf numFmtId="0" fontId="20" fillId="0" borderId="0" xfId="0" applyFont="1" applyAlignment="1">
      <alignment horizontal="center" vertical="center"/>
    </xf>
    <xf numFmtId="0" fontId="30" fillId="3" borderId="4" xfId="0" applyFont="1" applyFill="1" applyBorder="1" applyAlignment="1" applyProtection="1">
      <alignment horizontal="center" vertical="center"/>
    </xf>
    <xf numFmtId="0" fontId="53" fillId="7" borderId="1" xfId="0" applyFont="1" applyFill="1" applyBorder="1" applyAlignment="1" applyProtection="1">
      <alignment horizontal="center" vertical="center"/>
      <protection locked="0"/>
    </xf>
    <xf numFmtId="0" fontId="0" fillId="0" borderId="0" xfId="0"/>
    <xf numFmtId="0" fontId="0" fillId="0" borderId="0" xfId="0"/>
    <xf numFmtId="0" fontId="30" fillId="0" borderId="1" xfId="0" applyFont="1" applyBorder="1" applyAlignment="1" applyProtection="1">
      <alignment horizontal="center" vertical="center"/>
    </xf>
    <xf numFmtId="0" fontId="55" fillId="0" borderId="0" xfId="0" applyFont="1" applyAlignment="1">
      <alignment horizontal="center" vertical="center"/>
    </xf>
    <xf numFmtId="0" fontId="3" fillId="0" borderId="0" xfId="0" applyFont="1" applyAlignment="1">
      <alignment vertical="top"/>
    </xf>
    <xf numFmtId="0" fontId="64" fillId="0" borderId="0" xfId="0" applyFont="1" applyAlignment="1">
      <alignment wrapText="1"/>
    </xf>
    <xf numFmtId="0" fontId="64" fillId="0" borderId="0" xfId="0" applyFont="1" applyAlignment="1">
      <alignment horizontal="center" vertical="center" wrapText="1"/>
    </xf>
    <xf numFmtId="0" fontId="55" fillId="0" borderId="0" xfId="0" applyFont="1" applyAlignment="1" applyProtection="1">
      <alignment horizontal="center" vertical="center" wrapText="1"/>
    </xf>
    <xf numFmtId="0" fontId="16" fillId="0" borderId="0" xfId="0" applyFont="1" applyAlignment="1">
      <alignment horizontal="center" vertical="center" wrapText="1"/>
    </xf>
    <xf numFmtId="0" fontId="3" fillId="0" borderId="0" xfId="0" applyFont="1" applyAlignment="1">
      <alignment horizontal="center" vertical="center"/>
    </xf>
    <xf numFmtId="0" fontId="55" fillId="7" borderId="0" xfId="0" applyFont="1" applyFill="1" applyAlignment="1">
      <alignment horizontal="center" vertical="center"/>
    </xf>
    <xf numFmtId="0" fontId="3" fillId="0" borderId="0" xfId="0" applyFont="1" applyAlignment="1" applyProtection="1">
      <alignment horizontal="center" vertical="center"/>
    </xf>
    <xf numFmtId="0" fontId="3" fillId="7" borderId="0" xfId="0" applyFont="1" applyFill="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0" fillId="0" borderId="0" xfId="0"/>
    <xf numFmtId="164" fontId="0" fillId="0" borderId="18" xfId="2" applyNumberFormat="1" applyFont="1" applyBorder="1" applyAlignment="1">
      <alignment horizontal="center" vertical="center"/>
    </xf>
    <xf numFmtId="0" fontId="55" fillId="0" borderId="0" xfId="0" applyFont="1" applyAlignment="1">
      <alignment horizontal="center" vertical="center"/>
    </xf>
    <xf numFmtId="0" fontId="0" fillId="0" borderId="0" xfId="0" applyAlignment="1">
      <alignment horizontal="left" vertical="center"/>
    </xf>
    <xf numFmtId="0" fontId="0" fillId="0" borderId="0" xfId="0"/>
    <xf numFmtId="0" fontId="0" fillId="0" borderId="0" xfId="0" quotePrefix="1" applyNumberFormat="1" applyAlignment="1">
      <alignment horizontal="center" vertical="center"/>
    </xf>
    <xf numFmtId="0" fontId="0" fillId="0" borderId="0" xfId="0" quotePrefix="1" applyNumberFormat="1" applyAlignment="1">
      <alignment horizontal="center" vertical="top"/>
    </xf>
    <xf numFmtId="1" fontId="8" fillId="4" borderId="1" xfId="0"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0" fontId="55" fillId="0" borderId="0" xfId="0" applyFont="1" applyAlignment="1">
      <alignment horizontal="center" vertical="center"/>
    </xf>
    <xf numFmtId="0" fontId="0" fillId="0" borderId="0" xfId="0" applyAlignment="1">
      <alignment horizontal="left" vertical="center"/>
    </xf>
    <xf numFmtId="0" fontId="0" fillId="0" borderId="0" xfId="0"/>
    <xf numFmtId="0" fontId="0" fillId="0" borderId="0" xfId="0" applyAlignment="1">
      <alignment vertical="center" wrapText="1"/>
    </xf>
    <xf numFmtId="1" fontId="68" fillId="4" borderId="1"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xf>
    <xf numFmtId="0" fontId="0" fillId="0" borderId="0" xfId="0" applyProtection="1"/>
    <xf numFmtId="0" fontId="41" fillId="0" borderId="0" xfId="0" applyFont="1" applyAlignment="1" applyProtection="1">
      <alignment horizontal="center"/>
    </xf>
    <xf numFmtId="0" fontId="69" fillId="0" borderId="0" xfId="0" applyFont="1" applyAlignment="1">
      <alignment vertical="top"/>
    </xf>
    <xf numFmtId="14" fontId="8" fillId="4" borderId="4" xfId="0" applyNumberFormat="1" applyFont="1" applyFill="1" applyBorder="1" applyAlignment="1" applyProtection="1">
      <alignment horizontal="left" vertical="center"/>
      <protection locked="0"/>
    </xf>
    <xf numFmtId="0" fontId="0" fillId="0" borderId="0" xfId="0"/>
    <xf numFmtId="0" fontId="0" fillId="0" borderId="0" xfId="0"/>
    <xf numFmtId="0" fontId="4" fillId="0" borderId="0" xfId="0" applyFont="1" applyAlignment="1">
      <alignment horizontal="center"/>
    </xf>
    <xf numFmtId="0" fontId="55" fillId="0" borderId="0" xfId="0" applyFont="1" applyAlignment="1" applyProtection="1">
      <alignment horizontal="center" vertical="center"/>
    </xf>
    <xf numFmtId="0" fontId="55"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xf>
    <xf numFmtId="0" fontId="0" fillId="0" borderId="0" xfId="0" applyAlignment="1" applyProtection="1">
      <alignment vertical="top" wrapText="1"/>
      <protection locked="0"/>
    </xf>
    <xf numFmtId="0" fontId="2" fillId="0" borderId="0" xfId="0" applyFont="1" applyAlignment="1">
      <alignment wrapText="1"/>
    </xf>
    <xf numFmtId="0" fontId="45" fillId="0" borderId="0" xfId="0" applyFont="1" applyAlignment="1">
      <alignment horizontal="left"/>
    </xf>
    <xf numFmtId="0" fontId="45" fillId="0" borderId="0" xfId="0" applyFont="1" applyAlignment="1">
      <alignment horizontal="left" vertical="center"/>
    </xf>
    <xf numFmtId="0" fontId="0" fillId="0" borderId="0" xfId="0"/>
    <xf numFmtId="0" fontId="30" fillId="7" borderId="0" xfId="0" applyFont="1" applyFill="1" applyAlignment="1">
      <alignment vertical="center"/>
    </xf>
    <xf numFmtId="0" fontId="30" fillId="7" borderId="0" xfId="0" applyFont="1" applyFill="1" applyBorder="1" applyAlignment="1">
      <alignment vertical="center"/>
    </xf>
    <xf numFmtId="0" fontId="2" fillId="0" borderId="0" xfId="0" applyFont="1" applyAlignment="1">
      <alignment horizontal="center"/>
    </xf>
    <xf numFmtId="0" fontId="2" fillId="7" borderId="3" xfId="0" applyFont="1" applyFill="1" applyBorder="1" applyAlignment="1">
      <alignment vertical="center"/>
    </xf>
    <xf numFmtId="0" fontId="2" fillId="0" borderId="0" xfId="0" applyFont="1" applyAlignment="1"/>
    <xf numFmtId="0" fontId="2" fillId="7" borderId="5" xfId="0" applyFont="1" applyFill="1" applyBorder="1" applyAlignment="1">
      <alignment vertical="center"/>
    </xf>
    <xf numFmtId="0" fontId="30" fillId="0" borderId="0" xfId="0" applyFont="1" applyBorder="1" applyAlignment="1" applyProtection="1">
      <alignment vertical="center"/>
      <protection locked="0"/>
    </xf>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7" borderId="12" xfId="0" applyFont="1" applyFill="1" applyBorder="1" applyAlignment="1">
      <alignment vertical="center"/>
    </xf>
    <xf numFmtId="0" fontId="32" fillId="0" borderId="0" xfId="0" applyFont="1" applyAlignment="1">
      <alignment vertical="center" wrapText="1"/>
    </xf>
    <xf numFmtId="0" fontId="2" fillId="7" borderId="0" xfId="0" applyFont="1" applyFill="1" applyBorder="1" applyAlignment="1">
      <alignment horizontal="center" vertical="center" wrapText="1"/>
    </xf>
    <xf numFmtId="0" fontId="0" fillId="0" borderId="0" xfId="0"/>
    <xf numFmtId="0" fontId="41" fillId="3" borderId="1" xfId="0" applyFont="1" applyFill="1" applyBorder="1" applyAlignment="1" applyProtection="1">
      <alignment horizontal="left" vertical="center"/>
    </xf>
    <xf numFmtId="0" fontId="41" fillId="3" borderId="1" xfId="0" applyFont="1" applyFill="1" applyBorder="1" applyAlignment="1" applyProtection="1">
      <alignment horizontal="center" vertical="center"/>
    </xf>
    <xf numFmtId="0" fontId="0" fillId="0" borderId="0" xfId="0" applyAlignment="1">
      <alignment horizontal="left" vertical="center"/>
    </xf>
    <xf numFmtId="0" fontId="0" fillId="0" borderId="0" xfId="0"/>
    <xf numFmtId="0" fontId="26" fillId="0" borderId="0" xfId="0" applyFont="1" applyAlignment="1">
      <alignment vertical="center" wrapText="1"/>
    </xf>
    <xf numFmtId="0" fontId="72" fillId="0" borderId="0" xfId="0" applyFont="1" applyFill="1" applyAlignment="1">
      <alignment vertical="center" wrapText="1"/>
    </xf>
    <xf numFmtId="0" fontId="26" fillId="0" borderId="0" xfId="0" applyFont="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41" fillId="4" borderId="1" xfId="0" applyFont="1" applyFill="1" applyBorder="1" applyAlignment="1" applyProtection="1">
      <alignment horizontal="center" vertical="center" wrapText="1"/>
      <protection locked="0"/>
    </xf>
    <xf numFmtId="0" fontId="8" fillId="20" borderId="13" xfId="0" applyFont="1" applyFill="1" applyBorder="1" applyAlignment="1" applyProtection="1">
      <alignment horizontal="center" vertical="center"/>
    </xf>
    <xf numFmtId="0" fontId="8" fillId="7" borderId="12" xfId="0" applyFont="1" applyFill="1" applyBorder="1" applyAlignment="1" applyProtection="1">
      <alignment horizontal="center" vertical="center"/>
    </xf>
    <xf numFmtId="0" fontId="8" fillId="20" borderId="12" xfId="0" applyFont="1" applyFill="1" applyBorder="1" applyAlignment="1" applyProtection="1">
      <alignment horizontal="center" vertical="center"/>
    </xf>
    <xf numFmtId="0" fontId="8" fillId="20" borderId="2" xfId="0" applyFont="1" applyFill="1" applyBorder="1" applyAlignment="1" applyProtection="1">
      <alignment horizontal="center" vertical="center"/>
    </xf>
    <xf numFmtId="0" fontId="8" fillId="7" borderId="15" xfId="0" applyFont="1" applyFill="1" applyBorder="1" applyAlignment="1" applyProtection="1">
      <alignment horizontal="center" vertical="center"/>
    </xf>
    <xf numFmtId="0" fontId="8" fillId="20" borderId="15" xfId="0"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21" borderId="2" xfId="0" applyFont="1" applyFill="1" applyBorder="1" applyAlignment="1" applyProtection="1">
      <alignment horizontal="center" vertical="center"/>
    </xf>
    <xf numFmtId="0" fontId="8" fillId="7" borderId="4" xfId="0" applyFont="1" applyFill="1" applyBorder="1" applyAlignment="1" applyProtection="1">
      <alignment horizontal="center" vertical="center"/>
    </xf>
    <xf numFmtId="0" fontId="8" fillId="24" borderId="4" xfId="0" applyFont="1" applyFill="1" applyBorder="1" applyAlignment="1" applyProtection="1">
      <alignment horizontal="center" vertical="center"/>
    </xf>
    <xf numFmtId="0" fontId="3" fillId="0" borderId="0" xfId="0" applyFont="1" applyAlignment="1">
      <alignment horizontal="center" vertical="center"/>
    </xf>
    <xf numFmtId="0" fontId="0" fillId="0" borderId="0" xfId="0"/>
    <xf numFmtId="0" fontId="16" fillId="0" borderId="0" xfId="0" applyFont="1" applyAlignment="1">
      <alignment horizontal="center" vertical="center"/>
    </xf>
    <xf numFmtId="0" fontId="64" fillId="7" borderId="0" xfId="0" applyFont="1" applyFill="1" applyAlignment="1">
      <alignment horizontal="center" vertical="center"/>
    </xf>
    <xf numFmtId="0" fontId="0" fillId="0" borderId="0" xfId="0"/>
    <xf numFmtId="0" fontId="0" fillId="0" borderId="0" xfId="0"/>
    <xf numFmtId="0" fontId="0" fillId="0" borderId="0" xfId="0" applyAlignment="1">
      <alignment vertical="center"/>
    </xf>
    <xf numFmtId="0" fontId="68" fillId="4" borderId="1"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41" fillId="0" borderId="0" xfId="0" applyFont="1" applyFill="1" applyBorder="1" applyAlignment="1" applyProtection="1">
      <alignment horizontal="center" vertical="center" wrapText="1"/>
    </xf>
    <xf numFmtId="0" fontId="0" fillId="0" borderId="0" xfId="0"/>
    <xf numFmtId="0" fontId="2" fillId="7" borderId="0" xfId="0" applyFont="1" applyFill="1" applyBorder="1" applyAlignment="1">
      <alignment horizontal="center" vertical="center" wrapText="1"/>
    </xf>
    <xf numFmtId="0" fontId="55" fillId="0" borderId="0" xfId="0" applyFont="1" applyAlignment="1">
      <alignment horizontal="center" vertical="center"/>
    </xf>
    <xf numFmtId="0" fontId="0" fillId="0" borderId="0" xfId="0"/>
    <xf numFmtId="0" fontId="0" fillId="0" borderId="0" xfId="0" applyFill="1" applyBorder="1" applyAlignment="1" applyProtection="1">
      <alignment horizontal="center" vertical="center"/>
    </xf>
    <xf numFmtId="0" fontId="2" fillId="0" borderId="0" xfId="0" applyFont="1" applyFill="1" applyBorder="1" applyAlignment="1">
      <alignment horizontal="center" vertical="center" wrapText="1"/>
    </xf>
    <xf numFmtId="0" fontId="2" fillId="15" borderId="15" xfId="0" applyFont="1" applyFill="1" applyBorder="1" applyAlignment="1">
      <alignment horizontal="center" vertical="center" wrapText="1"/>
    </xf>
    <xf numFmtId="0" fontId="53" fillId="0" borderId="1" xfId="0" applyFont="1" applyBorder="1" applyAlignment="1" applyProtection="1">
      <alignment horizontal="center" vertical="center"/>
      <protection locked="0"/>
    </xf>
    <xf numFmtId="0" fontId="8" fillId="0" borderId="0" xfId="0" applyFont="1" applyFill="1" applyAlignment="1" applyProtection="1">
      <alignment vertical="top" wrapText="1"/>
    </xf>
    <xf numFmtId="0" fontId="70" fillId="0" borderId="0" xfId="0" applyFont="1" applyAlignment="1"/>
    <xf numFmtId="0" fontId="32" fillId="0" borderId="0" xfId="0" applyFont="1" applyFill="1" applyBorder="1" applyAlignment="1" applyProtection="1">
      <alignment horizontal="left"/>
    </xf>
    <xf numFmtId="0" fontId="53"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5" fillId="0" borderId="0" xfId="0" applyFont="1" applyFill="1" applyBorder="1" applyAlignment="1">
      <alignment horizontal="left"/>
    </xf>
    <xf numFmtId="0" fontId="25" fillId="0" borderId="0" xfId="0" applyFont="1" applyFill="1" applyBorder="1" applyAlignment="1" applyProtection="1">
      <alignment horizontal="left"/>
    </xf>
    <xf numFmtId="0" fontId="3" fillId="0" borderId="0" xfId="0" applyFont="1" applyAlignment="1">
      <alignment horizontal="center" vertical="center"/>
    </xf>
    <xf numFmtId="0" fontId="2" fillId="0" borderId="0" xfId="0" applyFont="1" applyFill="1" applyBorder="1" applyAlignment="1" applyProtection="1">
      <alignment vertical="center"/>
    </xf>
    <xf numFmtId="0" fontId="0" fillId="0" borderId="0" xfId="0"/>
    <xf numFmtId="0" fontId="8" fillId="0" borderId="0" xfId="0" applyFont="1" applyFill="1" applyAlignment="1" applyProtection="1">
      <alignment vertical="top" wrapText="1"/>
      <protection locked="0"/>
    </xf>
    <xf numFmtId="0" fontId="16" fillId="0" borderId="0" xfId="0" applyFont="1" applyBorder="1" applyAlignment="1"/>
    <xf numFmtId="0" fontId="16" fillId="0" borderId="0" xfId="0" applyFont="1" applyAlignment="1"/>
    <xf numFmtId="0" fontId="3" fillId="7"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3" fillId="0" borderId="0" xfId="0" applyFont="1" applyFill="1" applyAlignment="1" applyProtection="1">
      <alignment vertical="top" wrapText="1"/>
    </xf>
    <xf numFmtId="0" fontId="55" fillId="0" borderId="0" xfId="0" applyFont="1" applyFill="1" applyAlignment="1">
      <alignment horizontal="center" vertical="center"/>
    </xf>
    <xf numFmtId="0" fontId="0" fillId="0" borderId="0" xfId="0" applyAlignment="1">
      <alignment horizontal="left" vertical="center"/>
    </xf>
    <xf numFmtId="0" fontId="55" fillId="0" borderId="0" xfId="0" applyFont="1" applyAlignment="1">
      <alignment horizontal="center" vertical="center"/>
    </xf>
    <xf numFmtId="0" fontId="2" fillId="0" borderId="0" xfId="0" applyFont="1" applyAlignment="1">
      <alignment wrapText="1"/>
    </xf>
    <xf numFmtId="0" fontId="8" fillId="0" borderId="0" xfId="0" applyFont="1" applyAlignment="1" applyProtection="1">
      <alignment vertical="top" wrapText="1"/>
      <protection locked="0"/>
    </xf>
    <xf numFmtId="0" fontId="0" fillId="0" borderId="0" xfId="0"/>
    <xf numFmtId="0" fontId="55" fillId="0" borderId="0" xfId="0" applyFont="1" applyAlignment="1">
      <alignment horizontal="center" vertical="center"/>
    </xf>
    <xf numFmtId="0" fontId="0" fillId="0" borderId="0" xfId="0" quotePrefix="1" applyNumberFormat="1" applyAlignment="1">
      <alignment horizontal="center" vertical="top" wrapText="1"/>
    </xf>
    <xf numFmtId="0" fontId="0" fillId="0" borderId="0" xfId="0" applyBorder="1"/>
    <xf numFmtId="0" fontId="0" fillId="0" borderId="0" xfId="0" quotePrefix="1" applyAlignment="1">
      <alignment horizontal="center" vertical="top"/>
    </xf>
    <xf numFmtId="0" fontId="5" fillId="0" borderId="0" xfId="0" applyFont="1" applyBorder="1" applyAlignment="1">
      <alignment vertical="center" wrapText="1"/>
    </xf>
    <xf numFmtId="0" fontId="0" fillId="0" borderId="0" xfId="0" applyFont="1" applyBorder="1" applyAlignment="1">
      <alignment vertical="center" wrapText="1"/>
    </xf>
    <xf numFmtId="0" fontId="55" fillId="0" borderId="0" xfId="0" applyFont="1" applyAlignment="1">
      <alignment vertical="center"/>
    </xf>
    <xf numFmtId="0" fontId="3" fillId="0" borderId="0" xfId="0" applyFont="1" applyAlignment="1">
      <alignment vertical="center"/>
    </xf>
    <xf numFmtId="0" fontId="55"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55" fillId="0" borderId="0" xfId="0" applyFont="1" applyAlignment="1">
      <alignment horizontal="center" vertical="center"/>
    </xf>
    <xf numFmtId="1" fontId="41" fillId="0" borderId="0" xfId="0" applyNumberFormat="1" applyFont="1" applyAlignment="1" applyProtection="1">
      <alignment horizontal="center" vertical="top"/>
    </xf>
    <xf numFmtId="0" fontId="41" fillId="0" borderId="0" xfId="0" applyFont="1" applyAlignment="1" applyProtection="1">
      <alignment horizontal="center" vertical="top"/>
    </xf>
    <xf numFmtId="0" fontId="69" fillId="0" borderId="0" xfId="0" applyFont="1" applyAlignment="1">
      <alignment horizontal="left" vertical="top"/>
    </xf>
    <xf numFmtId="0" fontId="3" fillId="7" borderId="0" xfId="0" applyFont="1" applyFill="1"/>
    <xf numFmtId="0" fontId="77" fillId="0" borderId="0" xfId="0" applyFont="1" applyFill="1" applyBorder="1" applyAlignment="1" applyProtection="1">
      <alignment horizontal="center" vertical="center" wrapText="1"/>
      <protection locked="0"/>
    </xf>
    <xf numFmtId="0" fontId="32" fillId="7" borderId="14" xfId="0" applyFont="1" applyFill="1" applyBorder="1" applyAlignment="1">
      <alignment vertical="center"/>
    </xf>
    <xf numFmtId="14" fontId="4" fillId="21" borderId="2" xfId="0" applyNumberFormat="1" applyFont="1" applyFill="1" applyBorder="1" applyAlignment="1" applyProtection="1">
      <alignment horizontal="center" vertical="center"/>
    </xf>
    <xf numFmtId="14" fontId="4" fillId="0" borderId="4" xfId="0" applyNumberFormat="1" applyFont="1" applyBorder="1" applyAlignment="1" applyProtection="1">
      <alignment horizontal="center" vertical="center"/>
    </xf>
    <xf numFmtId="14" fontId="53" fillId="20" borderId="2" xfId="0" applyNumberFormat="1" applyFont="1" applyFill="1" applyBorder="1" applyAlignment="1" applyProtection="1">
      <alignment horizontal="center" vertical="center"/>
      <protection locked="0"/>
    </xf>
    <xf numFmtId="14" fontId="53" fillId="7" borderId="15" xfId="0" applyNumberFormat="1" applyFont="1" applyFill="1" applyBorder="1" applyAlignment="1" applyProtection="1">
      <alignment horizontal="center" vertical="center"/>
      <protection locked="0"/>
    </xf>
    <xf numFmtId="0" fontId="52" fillId="20" borderId="4" xfId="0" applyFont="1" applyFill="1" applyBorder="1" applyAlignment="1" applyProtection="1">
      <alignment horizontal="center" vertical="center"/>
      <protection locked="0"/>
    </xf>
    <xf numFmtId="0" fontId="52" fillId="20" borderId="14" xfId="0" applyFont="1" applyFill="1" applyBorder="1" applyAlignment="1" applyProtection="1">
      <alignment horizontal="center" vertical="center"/>
      <protection locked="0"/>
    </xf>
    <xf numFmtId="0" fontId="64" fillId="0" borderId="0" xfId="0" applyFont="1" applyAlignment="1">
      <alignment horizontal="center" wrapText="1"/>
    </xf>
    <xf numFmtId="0" fontId="64" fillId="0" borderId="0" xfId="0" applyFont="1" applyAlignment="1">
      <alignment horizontal="center"/>
    </xf>
    <xf numFmtId="0" fontId="64" fillId="0" borderId="0" xfId="0" applyFont="1" applyBorder="1" applyAlignment="1">
      <alignment horizontal="center"/>
    </xf>
    <xf numFmtId="0" fontId="52" fillId="20" borderId="14" xfId="0" applyFont="1" applyFill="1" applyBorder="1" applyAlignment="1" applyProtection="1">
      <alignment horizontal="center" vertical="center"/>
    </xf>
    <xf numFmtId="0" fontId="64" fillId="0" borderId="0" xfId="0" applyFont="1"/>
    <xf numFmtId="0" fontId="78" fillId="0" borderId="0" xfId="0" applyFont="1" applyAlignment="1"/>
    <xf numFmtId="0" fontId="3" fillId="0" borderId="0" xfId="0" applyFont="1" applyAlignment="1">
      <alignment horizontal="center"/>
    </xf>
    <xf numFmtId="0" fontId="64" fillId="0" borderId="0" xfId="0" applyFont="1" applyBorder="1" applyAlignment="1"/>
    <xf numFmtId="0" fontId="64" fillId="0" borderId="0" xfId="0" applyFont="1" applyAlignment="1"/>
    <xf numFmtId="0" fontId="77" fillId="0" borderId="0" xfId="0" applyFont="1"/>
    <xf numFmtId="0" fontId="8" fillId="0" borderId="0" xfId="0" applyFont="1" applyAlignment="1" applyProtection="1">
      <alignment vertical="top" wrapText="1"/>
      <protection locked="0"/>
    </xf>
    <xf numFmtId="1" fontId="53" fillId="7" borderId="0" xfId="0" applyNumberFormat="1" applyFont="1" applyFill="1" applyBorder="1" applyAlignment="1" applyProtection="1">
      <alignment horizontal="center" vertical="center"/>
      <protection locked="0"/>
    </xf>
    <xf numFmtId="0" fontId="55" fillId="0" borderId="0" xfId="0" applyFont="1" applyAlignment="1">
      <alignment horizontal="center" vertical="center"/>
    </xf>
    <xf numFmtId="0" fontId="0" fillId="0" borderId="0" xfId="0" applyAlignment="1">
      <alignment horizontal="left" vertical="center"/>
    </xf>
    <xf numFmtId="0" fontId="0" fillId="0" borderId="0" xfId="0"/>
    <xf numFmtId="0" fontId="0" fillId="0" borderId="0" xfId="0" applyFont="1" applyAlignment="1">
      <alignment wrapText="1"/>
    </xf>
    <xf numFmtId="0" fontId="55" fillId="0" borderId="0" xfId="0" applyFont="1" applyAlignment="1">
      <alignment horizontal="center" vertical="center"/>
    </xf>
    <xf numFmtId="0" fontId="20"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45" fillId="0" borderId="0" xfId="0" applyFont="1" applyAlignment="1"/>
    <xf numFmtId="0" fontId="55" fillId="0" borderId="0" xfId="0" applyFont="1" applyAlignment="1" applyProtection="1">
      <alignment horizontal="center" vertical="center"/>
    </xf>
    <xf numFmtId="0" fontId="2" fillId="0" borderId="0" xfId="0" applyFont="1" applyAlignment="1"/>
    <xf numFmtId="0" fontId="46" fillId="0" borderId="0" xfId="1" applyFont="1" applyAlignment="1">
      <alignment vertical="center" wrapText="1"/>
    </xf>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xf numFmtId="0" fontId="55" fillId="0" borderId="0" xfId="0" applyFont="1" applyAlignment="1" applyProtection="1">
      <alignment horizontal="center" vertical="center"/>
    </xf>
    <xf numFmtId="0" fontId="45" fillId="0" borderId="0" xfId="0" applyFont="1" applyAlignment="1"/>
    <xf numFmtId="0" fontId="32" fillId="0" borderId="0" xfId="0" applyFont="1" applyAlignment="1">
      <alignment vertical="center"/>
    </xf>
    <xf numFmtId="0" fontId="2" fillId="0" borderId="0" xfId="0" applyFont="1" applyAlignment="1" applyProtection="1">
      <alignment wrapText="1"/>
    </xf>
    <xf numFmtId="0" fontId="2" fillId="0" borderId="0" xfId="0" applyFont="1" applyAlignment="1" applyProtection="1">
      <alignment horizontal="center"/>
    </xf>
    <xf numFmtId="0" fontId="2" fillId="0" borderId="0" xfId="0" applyFont="1" applyAlignment="1" applyProtection="1">
      <alignment wrapText="1"/>
    </xf>
    <xf numFmtId="0" fontId="0" fillId="0" borderId="0" xfId="0" applyAlignment="1" applyProtection="1">
      <alignment vertical="center"/>
    </xf>
    <xf numFmtId="0" fontId="0" fillId="0" borderId="0" xfId="0" applyAlignment="1" applyProtection="1">
      <alignment horizontal="center" vertical="center"/>
    </xf>
    <xf numFmtId="0" fontId="3" fillId="0" borderId="0" xfId="0" applyFont="1" applyProtection="1"/>
    <xf numFmtId="0" fontId="0" fillId="0" borderId="0" xfId="0" applyAlignment="1" applyProtection="1">
      <alignment horizontal="right"/>
    </xf>
    <xf numFmtId="0" fontId="0" fillId="0" borderId="0" xfId="0" applyAlignment="1" applyProtection="1">
      <alignment vertical="top"/>
    </xf>
    <xf numFmtId="0" fontId="2" fillId="0" borderId="0" xfId="0" applyFont="1" applyAlignment="1" applyProtection="1">
      <alignment vertical="center" wrapText="1"/>
    </xf>
    <xf numFmtId="0" fontId="2" fillId="0" borderId="0" xfId="0" applyFont="1" applyAlignment="1" applyProtection="1">
      <alignment vertical="center" wrapText="1"/>
    </xf>
    <xf numFmtId="0" fontId="64" fillId="0" borderId="0" xfId="0" applyFont="1" applyAlignment="1" applyProtection="1">
      <alignment wrapText="1"/>
    </xf>
    <xf numFmtId="0" fontId="3"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pplyProtection="1">
      <alignment horizontal="center"/>
    </xf>
    <xf numFmtId="0" fontId="0" fillId="0" borderId="0" xfId="0" applyAlignment="1" applyProtection="1">
      <alignment vertical="top" wrapText="1"/>
    </xf>
    <xf numFmtId="0" fontId="2" fillId="21" borderId="9" xfId="0" applyFont="1" applyFill="1" applyBorder="1" applyAlignment="1" applyProtection="1">
      <alignment horizontal="center" vertical="center"/>
    </xf>
    <xf numFmtId="0" fontId="32" fillId="0" borderId="0" xfId="0" applyFont="1" applyAlignment="1">
      <alignment vertical="top"/>
    </xf>
    <xf numFmtId="0" fontId="32" fillId="0" borderId="0" xfId="0" applyFont="1" applyAlignment="1"/>
    <xf numFmtId="0" fontId="45" fillId="0" borderId="0" xfId="0" applyFont="1" applyAlignment="1">
      <alignment vertical="top"/>
    </xf>
    <xf numFmtId="0" fontId="2" fillId="0" borderId="0" xfId="0" applyFont="1" applyAlignment="1" applyProtection="1"/>
    <xf numFmtId="0" fontId="2" fillId="0" borderId="0" xfId="0" applyFont="1" applyAlignment="1" applyProtection="1">
      <alignment horizontal="center" vertical="center"/>
    </xf>
    <xf numFmtId="0" fontId="2" fillId="0" borderId="0" xfId="0" applyFont="1" applyAlignment="1" applyProtection="1">
      <alignment vertical="center"/>
    </xf>
    <xf numFmtId="164" fontId="30" fillId="0" borderId="2" xfId="2" applyNumberFormat="1" applyFont="1" applyBorder="1" applyAlignment="1">
      <alignment horizontal="center" vertical="center"/>
    </xf>
    <xf numFmtId="0" fontId="0" fillId="0" borderId="0" xfId="0" applyAlignment="1" applyProtection="1">
      <alignment vertical="center" wrapText="1"/>
    </xf>
    <xf numFmtId="0" fontId="0" fillId="0" borderId="0" xfId="0" applyFont="1" applyAlignment="1" applyProtection="1">
      <alignment vertical="top" wrapText="1"/>
    </xf>
    <xf numFmtId="0" fontId="3" fillId="0" borderId="0" xfId="0" applyFont="1" applyFill="1"/>
    <xf numFmtId="0" fontId="45" fillId="0" borderId="0" xfId="0" applyFont="1" applyAlignment="1"/>
    <xf numFmtId="0" fontId="20" fillId="0" borderId="0" xfId="0" applyFont="1" applyBorder="1" applyAlignment="1">
      <alignment vertical="center" wrapText="1"/>
    </xf>
    <xf numFmtId="0" fontId="20" fillId="0" borderId="0" xfId="0" applyFont="1" applyAlignment="1">
      <alignment horizontal="left" vertical="center"/>
    </xf>
    <xf numFmtId="0" fontId="0" fillId="0" borderId="0" xfId="0" applyAlignment="1">
      <alignment horizontal="left" vertical="center"/>
    </xf>
    <xf numFmtId="0" fontId="55" fillId="0" borderId="0" xfId="0" applyFont="1" applyAlignment="1">
      <alignment horizontal="center" vertical="center"/>
    </xf>
    <xf numFmtId="0" fontId="55" fillId="0" borderId="0" xfId="0" applyFont="1" applyAlignment="1" applyProtection="1">
      <alignment horizontal="center" vertical="center"/>
    </xf>
    <xf numFmtId="0" fontId="6" fillId="0" borderId="0" xfId="1" applyAlignment="1">
      <alignment horizontal="left" vertical="center"/>
    </xf>
    <xf numFmtId="0" fontId="0" fillId="0" borderId="0" xfId="0" applyFont="1" applyAlignment="1">
      <alignment vertical="top"/>
    </xf>
    <xf numFmtId="0" fontId="25" fillId="7" borderId="0" xfId="0" applyFont="1" applyFill="1" applyAlignment="1">
      <alignment vertical="center"/>
    </xf>
    <xf numFmtId="0" fontId="80" fillId="0" borderId="0" xfId="0" applyFont="1" applyAlignment="1" applyProtection="1">
      <alignment horizontal="center" vertical="top"/>
    </xf>
    <xf numFmtId="0" fontId="8" fillId="0" borderId="0" xfId="0" applyFont="1" applyAlignment="1" applyProtection="1">
      <alignment vertical="top"/>
    </xf>
    <xf numFmtId="0" fontId="44" fillId="0" borderId="0" xfId="0" applyFont="1" applyAlignment="1" applyProtection="1">
      <alignment vertical="top"/>
    </xf>
    <xf numFmtId="0" fontId="81" fillId="0" borderId="0" xfId="0" applyFont="1"/>
    <xf numFmtId="0" fontId="3" fillId="0" borderId="0" xfId="0" applyFont="1" applyAlignment="1" applyProtection="1">
      <alignment horizontal="center" vertical="top"/>
    </xf>
    <xf numFmtId="0" fontId="52" fillId="0" borderId="0" xfId="0" applyFont="1" applyAlignment="1">
      <alignment vertical="center"/>
    </xf>
    <xf numFmtId="0" fontId="55"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0" fillId="0" borderId="0" xfId="0" applyFont="1" applyAlignment="1">
      <alignment horizontal="left"/>
    </xf>
    <xf numFmtId="0" fontId="45" fillId="0" borderId="0" xfId="0" applyFont="1" applyAlignment="1"/>
    <xf numFmtId="0" fontId="55" fillId="0" borderId="0" xfId="0" applyFont="1" applyAlignment="1" applyProtection="1">
      <alignment horizontal="center" vertical="center"/>
    </xf>
    <xf numFmtId="0" fontId="62" fillId="0" borderId="0" xfId="0" applyFont="1" applyAlignment="1" applyProtection="1">
      <alignment horizontal="center" vertical="center" wrapText="1"/>
    </xf>
    <xf numFmtId="0" fontId="3" fillId="0" borderId="0" xfId="0" applyFont="1" applyAlignment="1" applyProtection="1">
      <alignment vertical="top" wrapText="1"/>
    </xf>
    <xf numFmtId="0" fontId="16" fillId="0" borderId="0" xfId="0" applyFont="1" applyAlignment="1" applyProtection="1">
      <alignment horizontal="center" vertical="center" wrapText="1"/>
    </xf>
    <xf numFmtId="0" fontId="64" fillId="0" borderId="0" xfId="0" applyFont="1" applyAlignment="1" applyProtection="1">
      <alignment vertical="center" wrapText="1"/>
    </xf>
    <xf numFmtId="0" fontId="80" fillId="0" borderId="0" xfId="0" applyFont="1" applyAlignment="1" applyProtection="1">
      <alignment vertical="top"/>
    </xf>
    <xf numFmtId="0" fontId="41" fillId="7" borderId="0" xfId="0" applyFont="1" applyFill="1" applyBorder="1" applyAlignment="1" applyProtection="1">
      <alignment horizontal="center" vertical="center" wrapText="1"/>
    </xf>
    <xf numFmtId="1" fontId="0" fillId="0" borderId="0" xfId="0" quotePrefix="1" applyNumberFormat="1" applyAlignment="1">
      <alignment horizontal="center" vertical="center"/>
    </xf>
    <xf numFmtId="0" fontId="0" fillId="0" borderId="0" xfId="0" quotePrefix="1" applyNumberFormat="1" applyAlignment="1">
      <alignment horizontal="center" vertical="center" wrapText="1"/>
    </xf>
    <xf numFmtId="0" fontId="83" fillId="0" borderId="0" xfId="0" applyFont="1" applyAlignment="1">
      <alignment horizontal="center" vertical="center"/>
    </xf>
    <xf numFmtId="0" fontId="2" fillId="0" borderId="0" xfId="0" applyFont="1" applyAlignment="1" applyProtection="1">
      <alignment horizontal="center"/>
    </xf>
    <xf numFmtId="0" fontId="2" fillId="0" borderId="0" xfId="0" applyFont="1" applyAlignment="1" applyProtection="1">
      <alignment horizontal="center" vertical="center"/>
    </xf>
    <xf numFmtId="0" fontId="2" fillId="0" borderId="0" xfId="0" applyFont="1" applyAlignment="1" applyProtection="1">
      <alignment wrapText="1"/>
    </xf>
    <xf numFmtId="0" fontId="0" fillId="0" borderId="0" xfId="0" applyAlignment="1" applyProtection="1">
      <alignment vertical="top" wrapText="1"/>
    </xf>
    <xf numFmtId="0" fontId="2" fillId="0" borderId="0" xfId="0" applyFont="1" applyAlignment="1" applyProtection="1">
      <alignment vertical="center" wrapText="1"/>
    </xf>
    <xf numFmtId="0" fontId="55" fillId="0" borderId="0" xfId="0" applyFont="1" applyAlignment="1" applyProtection="1">
      <alignment horizontal="center" vertical="center"/>
    </xf>
    <xf numFmtId="0" fontId="46" fillId="0" borderId="0" xfId="1" applyFont="1" applyAlignment="1" applyProtection="1">
      <alignment vertical="center" wrapText="1"/>
    </xf>
    <xf numFmtId="0" fontId="45" fillId="0" borderId="0" xfId="0" applyFont="1" applyAlignment="1" applyProtection="1"/>
    <xf numFmtId="0" fontId="45" fillId="0" borderId="0" xfId="0" applyFont="1" applyAlignment="1" applyProtection="1">
      <alignment horizontal="left"/>
    </xf>
    <xf numFmtId="0" fontId="32" fillId="0" borderId="0" xfId="0" applyFont="1" applyAlignment="1" applyProtection="1">
      <alignment vertical="center" wrapText="1"/>
    </xf>
    <xf numFmtId="0" fontId="0" fillId="0" borderId="0" xfId="0" applyFont="1" applyAlignment="1" applyProtection="1">
      <alignment vertical="center"/>
    </xf>
    <xf numFmtId="0" fontId="64" fillId="7" borderId="0" xfId="1" applyFont="1" applyFill="1" applyAlignment="1" applyProtection="1">
      <alignment vertical="center" wrapText="1"/>
    </xf>
    <xf numFmtId="0" fontId="46" fillId="0" borderId="0" xfId="1" applyFont="1" applyAlignment="1" applyProtection="1">
      <alignment wrapText="1"/>
    </xf>
    <xf numFmtId="0" fontId="38" fillId="0" borderId="0" xfId="0" applyFont="1" applyAlignment="1" applyProtection="1">
      <alignment wrapText="1"/>
    </xf>
    <xf numFmtId="0" fontId="40" fillId="0" borderId="0" xfId="0" applyFont="1" applyAlignment="1" applyProtection="1">
      <alignment wrapText="1"/>
    </xf>
    <xf numFmtId="0" fontId="30" fillId="0" borderId="0" xfId="0" applyFont="1" applyBorder="1" applyAlignment="1" applyProtection="1">
      <alignment horizontal="center" vertical="center"/>
    </xf>
    <xf numFmtId="0" fontId="64" fillId="0" borderId="0" xfId="0" applyFont="1" applyAlignment="1" applyProtection="1">
      <alignment horizontal="center" vertical="center"/>
    </xf>
    <xf numFmtId="0" fontId="0" fillId="0" borderId="0" xfId="0" applyAlignment="1" applyProtection="1">
      <alignment wrapText="1"/>
    </xf>
    <xf numFmtId="0" fontId="0" fillId="0" borderId="0" xfId="0" applyAlignment="1" applyProtection="1"/>
    <xf numFmtId="0" fontId="25" fillId="7" borderId="0" xfId="0" applyFont="1" applyFill="1" applyAlignment="1" applyProtection="1">
      <alignment vertical="center"/>
    </xf>
    <xf numFmtId="0" fontId="25" fillId="0" borderId="0" xfId="0" applyFont="1" applyProtection="1"/>
    <xf numFmtId="0" fontId="16" fillId="0" borderId="0" xfId="0" applyFont="1" applyAlignment="1" applyProtection="1">
      <alignment vertical="top" wrapText="1"/>
    </xf>
    <xf numFmtId="0" fontId="0" fillId="0" borderId="0" xfId="0" applyBorder="1" applyProtection="1"/>
    <xf numFmtId="0" fontId="0" fillId="0" borderId="0" xfId="0" applyFill="1" applyProtection="1"/>
    <xf numFmtId="0" fontId="40" fillId="0" borderId="0" xfId="0" applyFont="1" applyAlignment="1" applyProtection="1"/>
    <xf numFmtId="0" fontId="30" fillId="0" borderId="0" xfId="0" applyFont="1" applyBorder="1" applyAlignment="1" applyProtection="1">
      <alignment vertical="center"/>
    </xf>
    <xf numFmtId="0" fontId="64" fillId="0" borderId="0" xfId="0" applyFont="1" applyProtection="1"/>
    <xf numFmtId="0" fontId="68" fillId="0" borderId="0" xfId="0" applyFont="1" applyAlignment="1" applyProtection="1">
      <alignment vertical="top"/>
    </xf>
    <xf numFmtId="0" fontId="20" fillId="0" borderId="0" xfId="0" applyFont="1" applyFill="1" applyBorder="1" applyProtection="1"/>
    <xf numFmtId="0" fontId="77" fillId="0" borderId="0" xfId="0" applyFont="1" applyProtection="1"/>
    <xf numFmtId="0" fontId="20" fillId="0" borderId="0" xfId="0" applyFont="1" applyProtection="1"/>
    <xf numFmtId="0" fontId="8" fillId="0" borderId="0" xfId="0" applyFont="1" applyAlignment="1" applyProtection="1">
      <alignment vertical="top" wrapText="1"/>
    </xf>
    <xf numFmtId="0" fontId="8" fillId="0" borderId="0" xfId="0" applyFont="1" applyAlignment="1" applyProtection="1">
      <alignment horizontal="left" vertical="top" wrapText="1"/>
    </xf>
    <xf numFmtId="0" fontId="8" fillId="0" borderId="0" xfId="0" applyFont="1" applyAlignment="1" applyProtection="1">
      <alignment horizontal="center" vertical="center"/>
    </xf>
    <xf numFmtId="1" fontId="68" fillId="7" borderId="0" xfId="0" applyNumberFormat="1" applyFont="1" applyFill="1" applyBorder="1" applyAlignment="1" applyProtection="1">
      <alignment horizontal="center" vertical="center" wrapText="1"/>
    </xf>
    <xf numFmtId="0" fontId="2" fillId="0" borderId="0" xfId="0" applyFont="1" applyProtection="1"/>
    <xf numFmtId="0" fontId="55" fillId="0" borderId="0" xfId="0" applyFont="1" applyAlignment="1" applyProtection="1">
      <alignment vertical="center"/>
    </xf>
    <xf numFmtId="0" fontId="3" fillId="0" borderId="0" xfId="0" applyFont="1" applyAlignment="1" applyProtection="1">
      <alignment vertical="center"/>
    </xf>
    <xf numFmtId="0" fontId="20" fillId="0" borderId="0" xfId="0" applyFont="1" applyAlignment="1" applyProtection="1">
      <alignment vertical="center"/>
    </xf>
    <xf numFmtId="0" fontId="0" fillId="20" borderId="0" xfId="0" applyFill="1"/>
    <xf numFmtId="0" fontId="0" fillId="20" borderId="9" xfId="0" applyFill="1" applyBorder="1"/>
    <xf numFmtId="0" fontId="0" fillId="20" borderId="1" xfId="0" applyFill="1" applyBorder="1"/>
    <xf numFmtId="0" fontId="0" fillId="20" borderId="7" xfId="0" applyFill="1" applyBorder="1"/>
    <xf numFmtId="0" fontId="0" fillId="0" borderId="0" xfId="0" applyAlignment="1">
      <alignment horizontal="left" vertical="center"/>
    </xf>
    <xf numFmtId="0" fontId="2" fillId="0" borderId="0" xfId="0" applyFont="1" applyAlignment="1">
      <alignment wrapText="1"/>
    </xf>
    <xf numFmtId="0" fontId="0" fillId="0" borderId="0" xfId="0" applyAlignment="1">
      <alignment vertical="center"/>
    </xf>
    <xf numFmtId="0" fontId="2" fillId="0" borderId="0" xfId="0" applyFont="1" applyAlignment="1">
      <alignment vertical="center" wrapText="1"/>
    </xf>
    <xf numFmtId="0" fontId="20" fillId="0" borderId="0" xfId="0" applyFont="1" applyBorder="1" applyAlignment="1">
      <alignment vertical="center" wrapText="1"/>
    </xf>
    <xf numFmtId="1" fontId="68" fillId="0" borderId="0"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3" fillId="0" borderId="0" xfId="0" applyFont="1"/>
    <xf numFmtId="0" fontId="0" fillId="0" borderId="0" xfId="0" applyAlignment="1">
      <alignment horizontal="left" vertical="center"/>
    </xf>
    <xf numFmtId="0" fontId="0" fillId="0" borderId="0" xfId="0" applyFont="1"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wrapText="1"/>
    </xf>
    <xf numFmtId="0" fontId="0" fillId="0" borderId="0" xfId="0" applyFont="1" applyBorder="1" applyAlignment="1">
      <alignment vertical="center" wrapText="1"/>
    </xf>
    <xf numFmtId="0" fontId="3" fillId="0" borderId="0" xfId="0" applyFont="1"/>
    <xf numFmtId="0" fontId="2" fillId="0" borderId="0" xfId="0" applyFont="1" applyAlignment="1">
      <alignment vertical="center" wrapText="1"/>
    </xf>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pplyProtection="1">
      <alignment horizontal="center" vertical="center" wrapText="1"/>
      <protection locked="0"/>
    </xf>
    <xf numFmtId="0" fontId="21" fillId="27" borderId="0" xfId="0" applyFont="1" applyFill="1" applyAlignment="1">
      <alignment vertical="center"/>
    </xf>
    <xf numFmtId="0" fontId="29" fillId="27" borderId="0" xfId="0" applyFont="1" applyFill="1" applyAlignment="1">
      <alignment vertical="center"/>
    </xf>
    <xf numFmtId="0" fontId="0" fillId="27" borderId="0" xfId="0" applyFill="1" applyAlignment="1">
      <alignment vertical="center"/>
    </xf>
    <xf numFmtId="0" fontId="0" fillId="10" borderId="0" xfId="0" applyFill="1" applyProtection="1"/>
    <xf numFmtId="0" fontId="41" fillId="0" borderId="0" xfId="0" applyFont="1" applyAlignment="1" applyProtection="1">
      <alignment horizontal="center" vertical="center"/>
    </xf>
    <xf numFmtId="1" fontId="41" fillId="0" borderId="0" xfId="0" applyNumberFormat="1" applyFont="1" applyAlignment="1" applyProtection="1">
      <alignment horizontal="center" vertical="center"/>
    </xf>
    <xf numFmtId="0" fontId="8" fillId="4" borderId="1" xfId="0" applyFont="1" applyFill="1" applyBorder="1" applyAlignment="1" applyProtection="1">
      <alignment horizontal="center" vertical="center"/>
      <protection locked="0"/>
    </xf>
    <xf numFmtId="0" fontId="9" fillId="27" borderId="0" xfId="0" applyFont="1" applyFill="1"/>
    <xf numFmtId="0" fontId="0" fillId="27" borderId="0" xfId="0" applyFill="1"/>
    <xf numFmtId="0" fontId="10" fillId="27" borderId="0" xfId="0" applyFont="1" applyFill="1"/>
    <xf numFmtId="0" fontId="16" fillId="0" borderId="0" xfId="0" applyFont="1" applyFill="1" applyAlignment="1">
      <alignment horizontal="center" vertical="center"/>
    </xf>
    <xf numFmtId="0" fontId="0" fillId="0" borderId="0" xfId="0" applyFont="1" applyAlignment="1">
      <alignment vertical="center"/>
    </xf>
    <xf numFmtId="165" fontId="8" fillId="4" borderId="1" xfId="0" applyNumberFormat="1" applyFont="1" applyFill="1" applyBorder="1" applyAlignment="1" applyProtection="1">
      <alignment horizontal="center" vertical="center" wrapText="1"/>
      <protection locked="0"/>
    </xf>
    <xf numFmtId="166" fontId="8" fillId="4" borderId="1" xfId="0" applyNumberFormat="1" applyFont="1" applyFill="1" applyBorder="1" applyAlignment="1" applyProtection="1">
      <alignment horizontal="center" vertical="center"/>
      <protection locked="0"/>
    </xf>
    <xf numFmtId="0" fontId="0" fillId="0" borderId="0" xfId="0" applyAlignment="1">
      <alignment vertical="center" wrapText="1"/>
    </xf>
    <xf numFmtId="0" fontId="9" fillId="10" borderId="0" xfId="0" applyFont="1" applyFill="1" applyAlignment="1" applyProtection="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3" fillId="0" borderId="0" xfId="0" applyFont="1"/>
    <xf numFmtId="0" fontId="4" fillId="0" borderId="0" xfId="0" applyFont="1" applyAlignment="1" applyProtection="1">
      <alignment horizontal="left" vertical="top" wrapText="1"/>
    </xf>
    <xf numFmtId="0" fontId="0" fillId="0" borderId="0" xfId="0" applyAlignment="1">
      <alignment horizontal="left" vertical="center" wrapText="1"/>
    </xf>
    <xf numFmtId="0" fontId="0" fillId="0" borderId="0" xfId="0" applyFont="1" applyBorder="1" applyAlignment="1">
      <alignment horizontal="left" vertical="center" wrapText="1"/>
    </xf>
    <xf numFmtId="0" fontId="6" fillId="0" borderId="0" xfId="1" applyAlignment="1" applyProtection="1">
      <alignment horizontal="center" vertical="top"/>
      <protection locked="0"/>
    </xf>
    <xf numFmtId="0" fontId="25" fillId="0" borderId="0" xfId="0" applyFont="1" applyBorder="1" applyAlignment="1" applyProtection="1">
      <alignment horizontal="center" vertical="center"/>
      <protection locked="0"/>
    </xf>
    <xf numFmtId="0" fontId="25" fillId="7" borderId="0" xfId="0" applyFont="1" applyFill="1" applyAlignment="1">
      <alignment horizontal="center" vertical="center"/>
    </xf>
    <xf numFmtId="0" fontId="30" fillId="7" borderId="0" xfId="0" applyFont="1" applyFill="1" applyAlignment="1" applyProtection="1">
      <alignment vertical="center"/>
    </xf>
    <xf numFmtId="0" fontId="68" fillId="0" borderId="0" xfId="0" applyFont="1" applyAlignment="1" applyProtection="1">
      <alignment vertical="top" wrapText="1"/>
      <protection locked="0"/>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2" fillId="7" borderId="14" xfId="0" applyFont="1" applyFill="1" applyBorder="1" applyAlignment="1">
      <alignment horizontal="left" vertical="center"/>
    </xf>
    <xf numFmtId="0" fontId="0" fillId="0" borderId="0" xfId="0" applyAlignment="1">
      <alignment horizontal="left" vertical="center"/>
    </xf>
    <xf numFmtId="0" fontId="2" fillId="3" borderId="5" xfId="0" applyFont="1" applyFill="1" applyBorder="1" applyAlignment="1">
      <alignment horizontal="justify" vertical="center" wrapText="1"/>
    </xf>
    <xf numFmtId="0" fontId="23" fillId="3" borderId="6" xfId="0" applyFont="1" applyFill="1" applyBorder="1" applyAlignment="1">
      <alignment horizontal="justify" vertical="center" wrapText="1"/>
    </xf>
    <xf numFmtId="0" fontId="23" fillId="3" borderId="14" xfId="0" applyFont="1" applyFill="1" applyBorder="1" applyAlignment="1">
      <alignment horizontal="justify" vertical="center" wrapText="1"/>
    </xf>
    <xf numFmtId="0" fontId="37" fillId="7" borderId="0" xfId="0" applyFont="1" applyFill="1" applyBorder="1" applyAlignment="1">
      <alignment horizontal="center" vertical="center" wrapText="1"/>
    </xf>
    <xf numFmtId="0" fontId="2" fillId="22" borderId="3" xfId="0" applyFont="1" applyFill="1" applyBorder="1" applyAlignment="1">
      <alignment vertical="center" wrapText="1"/>
    </xf>
    <xf numFmtId="0" fontId="2" fillId="22" borderId="0" xfId="0" applyFont="1" applyFill="1" applyBorder="1" applyAlignment="1">
      <alignment vertical="center"/>
    </xf>
    <xf numFmtId="0" fontId="37" fillId="7" borderId="7" xfId="0" applyFont="1" applyFill="1" applyBorder="1" applyAlignment="1">
      <alignment horizontal="center" vertical="center" wrapText="1"/>
    </xf>
    <xf numFmtId="0" fontId="37" fillId="7" borderId="8"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2" fillId="7" borderId="5" xfId="0" applyFont="1" applyFill="1" applyBorder="1" applyAlignment="1">
      <alignment vertical="center"/>
    </xf>
    <xf numFmtId="0" fontId="2" fillId="7" borderId="6" xfId="0" applyFont="1" applyFill="1" applyBorder="1" applyAlignment="1">
      <alignment vertical="center"/>
    </xf>
    <xf numFmtId="0" fontId="23" fillId="10" borderId="7" xfId="0" applyFont="1" applyFill="1" applyBorder="1" applyAlignment="1">
      <alignment horizontal="justify" vertical="center" wrapText="1"/>
    </xf>
    <xf numFmtId="0" fontId="23" fillId="10" borderId="8" xfId="0" applyFont="1" applyFill="1" applyBorder="1" applyAlignment="1">
      <alignment horizontal="justify" vertical="center" wrapText="1"/>
    </xf>
    <xf numFmtId="0" fontId="23" fillId="10" borderId="9" xfId="0" applyFont="1" applyFill="1" applyBorder="1" applyAlignment="1">
      <alignment horizontal="justify" vertical="center" wrapText="1"/>
    </xf>
    <xf numFmtId="0" fontId="16" fillId="0" borderId="3" xfId="0" applyFont="1" applyBorder="1"/>
    <xf numFmtId="0" fontId="16" fillId="0" borderId="0" xfId="0" applyFont="1"/>
    <xf numFmtId="0" fontId="8" fillId="2" borderId="0" xfId="0" applyFont="1" applyFill="1" applyAlignment="1" applyProtection="1">
      <alignment horizontal="left" vertical="top" wrapText="1"/>
      <protection locked="0"/>
    </xf>
    <xf numFmtId="0" fontId="0" fillId="0" borderId="12" xfId="0" applyFont="1" applyBorder="1" applyAlignment="1">
      <alignment horizontal="center" vertical="center" wrapText="1"/>
    </xf>
    <xf numFmtId="0" fontId="52" fillId="0" borderId="0" xfId="0" applyFont="1" applyAlignment="1">
      <alignment vertical="top" wrapText="1"/>
    </xf>
    <xf numFmtId="0" fontId="9" fillId="10" borderId="0" xfId="0" applyFont="1" applyFill="1" applyAlignment="1">
      <alignment horizontal="center" vertical="center" wrapText="1"/>
    </xf>
    <xf numFmtId="0" fontId="9" fillId="10" borderId="0" xfId="0" applyFont="1" applyFill="1" applyAlignment="1">
      <alignment horizontal="center" vertical="center"/>
    </xf>
    <xf numFmtId="0" fontId="8" fillId="7" borderId="0" xfId="0"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45" fillId="0" borderId="0" xfId="0" applyFont="1" applyAlignment="1" applyProtection="1">
      <alignment horizontal="left"/>
    </xf>
    <xf numFmtId="0" fontId="45" fillId="0" borderId="0" xfId="0" applyFont="1" applyAlignment="1" applyProtection="1">
      <alignment horizontal="center"/>
    </xf>
    <xf numFmtId="0" fontId="5" fillId="0" borderId="0" xfId="0" applyFont="1" applyBorder="1" applyAlignment="1">
      <alignment horizontal="left" wrapText="1"/>
    </xf>
    <xf numFmtId="0" fontId="2" fillId="0" borderId="0" xfId="0" applyFont="1" applyAlignment="1" applyProtection="1">
      <alignment horizontal="center" vertical="center"/>
    </xf>
    <xf numFmtId="0" fontId="25" fillId="0" borderId="0" xfId="0" applyFont="1" applyFill="1" applyBorder="1" applyAlignment="1" applyProtection="1">
      <alignment horizontal="left" vertical="center" wrapText="1"/>
    </xf>
    <xf numFmtId="0" fontId="0" fillId="0" borderId="0" xfId="0" applyFont="1" applyAlignment="1">
      <alignment vertical="center" wrapText="1"/>
    </xf>
    <xf numFmtId="0" fontId="18" fillId="0" borderId="0" xfId="0" applyFont="1" applyAlignment="1">
      <alignment horizontal="left"/>
    </xf>
    <xf numFmtId="0" fontId="25"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Protection="1"/>
    <xf numFmtId="0" fontId="2" fillId="7" borderId="10" xfId="0" applyFont="1" applyFill="1" applyBorder="1" applyAlignment="1" applyProtection="1">
      <alignment vertical="center" wrapText="1"/>
    </xf>
    <xf numFmtId="0" fontId="2" fillId="7" borderId="11" xfId="0" applyFont="1" applyFill="1" applyBorder="1" applyAlignment="1" applyProtection="1">
      <alignment vertical="center"/>
    </xf>
    <xf numFmtId="0" fontId="2" fillId="0" borderId="0" xfId="0" applyFont="1" applyFill="1" applyBorder="1" applyAlignment="1" applyProtection="1">
      <alignment vertical="center"/>
    </xf>
    <xf numFmtId="0" fontId="2" fillId="7" borderId="7" xfId="0" applyFont="1" applyFill="1" applyBorder="1" applyAlignment="1">
      <alignment vertical="center"/>
    </xf>
    <xf numFmtId="0" fontId="2" fillId="7" borderId="8" xfId="0" applyFont="1" applyFill="1" applyBorder="1" applyAlignment="1">
      <alignment vertical="center"/>
    </xf>
    <xf numFmtId="0" fontId="2" fillId="7" borderId="9" xfId="0" applyFont="1" applyFill="1" applyBorder="1" applyAlignment="1">
      <alignment vertical="center"/>
    </xf>
    <xf numFmtId="0" fontId="2" fillId="0" borderId="0" xfId="0" applyFont="1" applyAlignment="1" applyProtection="1">
      <alignment horizontal="center"/>
    </xf>
    <xf numFmtId="0" fontId="0" fillId="7" borderId="0" xfId="0" applyFill="1" applyBorder="1" applyAlignment="1">
      <alignment horizontal="center" vertical="center"/>
    </xf>
    <xf numFmtId="0" fontId="25" fillId="7" borderId="0" xfId="0" applyFont="1" applyFill="1" applyAlignment="1">
      <alignment horizontal="center" vertical="center" wrapText="1"/>
    </xf>
    <xf numFmtId="0" fontId="68" fillId="0" borderId="0" xfId="0" applyFont="1" applyAlignment="1" applyProtection="1">
      <alignment vertical="top"/>
    </xf>
    <xf numFmtId="0" fontId="36" fillId="0" borderId="0"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25" fillId="7" borderId="8" xfId="0" applyFont="1" applyFill="1" applyBorder="1" applyAlignment="1">
      <alignment horizontal="left" vertical="center"/>
    </xf>
    <xf numFmtId="0" fontId="25" fillId="7" borderId="9" xfId="0" applyFont="1" applyFill="1" applyBorder="1" applyAlignment="1">
      <alignment horizontal="left" vertical="center"/>
    </xf>
    <xf numFmtId="0" fontId="52" fillId="24" borderId="6" xfId="0" applyFont="1" applyFill="1" applyBorder="1" applyAlignment="1">
      <alignment vertical="center" wrapText="1"/>
    </xf>
    <xf numFmtId="0" fontId="52" fillId="24" borderId="14" xfId="0" applyFont="1" applyFill="1" applyBorder="1" applyAlignment="1">
      <alignment vertical="center" wrapText="1"/>
    </xf>
    <xf numFmtId="0" fontId="2" fillId="22" borderId="7" xfId="0" applyFont="1" applyFill="1" applyBorder="1" applyAlignment="1">
      <alignment vertical="center" wrapText="1"/>
    </xf>
    <xf numFmtId="0" fontId="2" fillId="22" borderId="8" xfId="0" applyFont="1" applyFill="1" applyBorder="1" applyAlignment="1">
      <alignment vertical="center"/>
    </xf>
    <xf numFmtId="0" fontId="2" fillId="22" borderId="9" xfId="0" applyFont="1" applyFill="1" applyBorder="1" applyAlignment="1">
      <alignment vertical="center"/>
    </xf>
    <xf numFmtId="0" fontId="47" fillId="2" borderId="0" xfId="0" applyFont="1" applyFill="1" applyAlignment="1" applyProtection="1">
      <alignment horizontal="left" vertical="top" wrapText="1"/>
      <protection locked="0"/>
    </xf>
    <xf numFmtId="0" fontId="2" fillId="0" borderId="0" xfId="0" applyFont="1" applyAlignment="1">
      <alignment horizontal="center"/>
    </xf>
    <xf numFmtId="0" fontId="45" fillId="0" borderId="0" xfId="0" applyFont="1" applyAlignment="1">
      <alignment horizontal="left"/>
    </xf>
    <xf numFmtId="0" fontId="30" fillId="12" borderId="7" xfId="0" applyFont="1" applyFill="1" applyBorder="1" applyAlignment="1">
      <alignment horizontal="center" vertical="center" wrapText="1"/>
    </xf>
    <xf numFmtId="0" fontId="30" fillId="12" borderId="8" xfId="0" applyFont="1" applyFill="1" applyBorder="1" applyAlignment="1">
      <alignment horizontal="center" vertical="center" wrapText="1"/>
    </xf>
    <xf numFmtId="0" fontId="30" fillId="12" borderId="9" xfId="0" applyFont="1" applyFill="1" applyBorder="1" applyAlignment="1">
      <alignment horizontal="center" vertical="center" wrapText="1"/>
    </xf>
    <xf numFmtId="0" fontId="30"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xf>
    <xf numFmtId="0" fontId="64" fillId="0" borderId="0" xfId="0" applyFont="1" applyAlignment="1">
      <alignment horizontal="center"/>
    </xf>
    <xf numFmtId="0" fontId="30" fillId="0" borderId="0" xfId="0" applyFont="1" applyBorder="1" applyAlignment="1" applyProtection="1">
      <alignment horizontal="center" vertical="center" wrapText="1"/>
    </xf>
    <xf numFmtId="0" fontId="0" fillId="0" borderId="0" xfId="0" applyAlignment="1" applyProtection="1">
      <alignment horizontal="center" vertical="center"/>
    </xf>
    <xf numFmtId="0" fontId="6" fillId="0" borderId="0" xfId="1" applyAlignment="1" applyProtection="1">
      <alignment horizontal="center" vertical="center"/>
      <protection locked="0"/>
    </xf>
    <xf numFmtId="0" fontId="52" fillId="7" borderId="6" xfId="0" applyFont="1" applyFill="1" applyBorder="1" applyAlignment="1">
      <alignment vertical="center" wrapText="1"/>
    </xf>
    <xf numFmtId="0" fontId="52" fillId="7" borderId="14" xfId="0" applyFont="1" applyFill="1" applyBorder="1" applyAlignment="1">
      <alignment vertical="center" wrapText="1"/>
    </xf>
    <xf numFmtId="0" fontId="47" fillId="0" borderId="0" xfId="0" applyFont="1" applyAlignment="1" applyProtection="1">
      <alignment horizontal="left" vertical="top" wrapText="1"/>
      <protection locked="0"/>
    </xf>
    <xf numFmtId="0" fontId="2" fillId="0" borderId="0" xfId="0" applyFont="1" applyAlignment="1">
      <alignment wrapText="1"/>
    </xf>
    <xf numFmtId="0" fontId="2" fillId="0" borderId="0" xfId="0" applyFont="1" applyAlignment="1" applyProtection="1">
      <alignment wrapText="1"/>
    </xf>
    <xf numFmtId="0" fontId="32" fillId="24" borderId="5" xfId="0" applyFont="1" applyFill="1" applyBorder="1" applyAlignment="1">
      <alignment horizontal="justify" vertical="center" wrapText="1"/>
    </xf>
    <xf numFmtId="0" fontId="23" fillId="24" borderId="6" xfId="0" applyFont="1" applyFill="1" applyBorder="1" applyAlignment="1">
      <alignment horizontal="justify" vertical="center" wrapText="1"/>
    </xf>
    <xf numFmtId="0" fontId="23" fillId="24" borderId="14" xfId="0" applyFont="1" applyFill="1" applyBorder="1" applyAlignment="1">
      <alignment horizontal="justify" vertical="center" wrapText="1"/>
    </xf>
    <xf numFmtId="0" fontId="25" fillId="24" borderId="3" xfId="0" applyFont="1" applyFill="1" applyBorder="1" applyAlignment="1">
      <alignment horizontal="left" vertical="center" wrapText="1"/>
    </xf>
    <xf numFmtId="0" fontId="2" fillId="24" borderId="0" xfId="0" applyFont="1" applyFill="1" applyBorder="1" applyAlignment="1">
      <alignment horizontal="left" vertical="center"/>
    </xf>
    <xf numFmtId="0" fontId="2" fillId="24" borderId="10" xfId="0" applyFont="1" applyFill="1" applyBorder="1" applyAlignment="1">
      <alignment vertical="center"/>
    </xf>
    <xf numFmtId="0" fontId="2" fillId="24" borderId="11" xfId="0" applyFont="1" applyFill="1" applyBorder="1" applyAlignment="1">
      <alignment vertical="center"/>
    </xf>
    <xf numFmtId="0" fontId="2" fillId="24" borderId="13" xfId="0" applyFont="1" applyFill="1" applyBorder="1" applyAlignment="1">
      <alignment vertical="center"/>
    </xf>
    <xf numFmtId="0" fontId="30" fillId="23" borderId="7" xfId="0" applyFont="1" applyFill="1" applyBorder="1" applyAlignment="1">
      <alignment horizontal="center" vertical="center" wrapText="1"/>
    </xf>
    <xf numFmtId="0" fontId="30" fillId="23" borderId="8" xfId="0" applyFont="1" applyFill="1" applyBorder="1" applyAlignment="1">
      <alignment horizontal="center" vertical="center" wrapText="1"/>
    </xf>
    <xf numFmtId="0" fontId="30" fillId="23" borderId="9" xfId="0" applyFont="1" applyFill="1" applyBorder="1" applyAlignment="1">
      <alignment horizontal="center" vertical="center" wrapText="1"/>
    </xf>
    <xf numFmtId="0" fontId="45" fillId="0" borderId="0" xfId="0" applyFont="1" applyAlignment="1">
      <alignment horizontal="center"/>
    </xf>
    <xf numFmtId="0" fontId="6" fillId="0" borderId="0" xfId="1" applyAlignment="1" applyProtection="1">
      <alignment horizontal="center" vertical="top" wrapText="1"/>
      <protection locked="0"/>
    </xf>
    <xf numFmtId="0" fontId="0" fillId="0" borderId="0" xfId="0" applyAlignment="1" applyProtection="1">
      <alignment vertical="top" wrapText="1"/>
    </xf>
    <xf numFmtId="0" fontId="2" fillId="0" borderId="0" xfId="0" applyFont="1" applyAlignment="1" applyProtection="1">
      <alignment vertical="center" wrapText="1"/>
    </xf>
    <xf numFmtId="0" fontId="79" fillId="0" borderId="0" xfId="0" applyFont="1"/>
    <xf numFmtId="0" fontId="52" fillId="7" borderId="0" xfId="0" applyFont="1" applyFill="1" applyBorder="1" applyAlignment="1">
      <alignment horizontal="left" vertical="center" wrapText="1"/>
    </xf>
    <xf numFmtId="0" fontId="52" fillId="7" borderId="12" xfId="0" applyFont="1" applyFill="1" applyBorder="1" applyAlignment="1">
      <alignment horizontal="left" vertical="center" wrapText="1"/>
    </xf>
    <xf numFmtId="0" fontId="30" fillId="0" borderId="0" xfId="0" applyFont="1" applyFill="1" applyAlignment="1">
      <alignment horizontal="left" vertical="center" wrapText="1"/>
    </xf>
    <xf numFmtId="0" fontId="26" fillId="0" borderId="0" xfId="0" applyFont="1" applyFill="1" applyBorder="1" applyAlignment="1" applyProtection="1">
      <alignment horizontal="center" vertical="center"/>
      <protection locked="0"/>
    </xf>
    <xf numFmtId="0" fontId="45" fillId="0" borderId="0" xfId="0" applyFont="1" applyAlignment="1">
      <alignment horizontal="left" vertical="center"/>
    </xf>
    <xf numFmtId="0" fontId="32" fillId="13" borderId="5" xfId="0" applyFont="1" applyFill="1" applyBorder="1" applyAlignment="1">
      <alignment horizontal="justify" vertical="center" wrapText="1"/>
    </xf>
    <xf numFmtId="0" fontId="23" fillId="13" borderId="6" xfId="0" applyFont="1" applyFill="1" applyBorder="1" applyAlignment="1">
      <alignment horizontal="justify" vertical="center" wrapText="1"/>
    </xf>
    <xf numFmtId="0" fontId="23" fillId="13" borderId="14" xfId="0" applyFont="1" applyFill="1" applyBorder="1" applyAlignment="1">
      <alignment horizontal="justify" vertical="center" wrapText="1"/>
    </xf>
    <xf numFmtId="0" fontId="52" fillId="21" borderId="0" xfId="0" applyFont="1" applyFill="1" applyBorder="1" applyAlignment="1">
      <alignment horizontal="left" vertical="center" wrapText="1"/>
    </xf>
    <xf numFmtId="0" fontId="52" fillId="21" borderId="12" xfId="0" applyFont="1" applyFill="1" applyBorder="1" applyAlignment="1">
      <alignment horizontal="left" vertical="center" wrapText="1"/>
    </xf>
    <xf numFmtId="0" fontId="2" fillId="21" borderId="10" xfId="0" applyFont="1" applyFill="1" applyBorder="1" applyAlignment="1">
      <alignment vertical="center"/>
    </xf>
    <xf numFmtId="0" fontId="2" fillId="21" borderId="11" xfId="0" applyFont="1" applyFill="1" applyBorder="1" applyAlignment="1">
      <alignment vertical="center"/>
    </xf>
    <xf numFmtId="0" fontId="2" fillId="21" borderId="13" xfId="0" applyFont="1" applyFill="1" applyBorder="1" applyAlignment="1">
      <alignment vertical="center"/>
    </xf>
    <xf numFmtId="0" fontId="25" fillId="21" borderId="3" xfId="0" applyFont="1" applyFill="1" applyBorder="1" applyAlignment="1">
      <alignment horizontal="left" vertical="center" wrapText="1"/>
    </xf>
    <xf numFmtId="0" fontId="2" fillId="21" borderId="0" xfId="0" applyFont="1" applyFill="1" applyBorder="1" applyAlignment="1">
      <alignment horizontal="left" vertical="center"/>
    </xf>
    <xf numFmtId="0" fontId="2" fillId="0" borderId="0" xfId="0" applyFont="1" applyAlignment="1" applyProtection="1">
      <alignment horizontal="left" wrapText="1"/>
    </xf>
    <xf numFmtId="0" fontId="2" fillId="0" borderId="0" xfId="0" applyFont="1" applyAlignment="1" applyProtection="1">
      <alignment horizontal="left" vertical="center" wrapText="1"/>
    </xf>
    <xf numFmtId="0" fontId="45" fillId="0" borderId="0" xfId="0" applyFont="1" applyAlignment="1"/>
    <xf numFmtId="0" fontId="85" fillId="26" borderId="0" xfId="0" applyFont="1" applyFill="1" applyAlignment="1">
      <alignment horizontal="center" vertical="center" wrapText="1"/>
    </xf>
    <xf numFmtId="0" fontId="65" fillId="2" borderId="0" xfId="0" applyFont="1" applyFill="1" applyAlignment="1">
      <alignment horizontal="justify" vertical="center" wrapText="1"/>
    </xf>
    <xf numFmtId="0" fontId="41" fillId="4" borderId="7" xfId="0" applyFont="1" applyFill="1" applyBorder="1" applyAlignment="1" applyProtection="1">
      <alignment horizontal="left" vertical="center"/>
      <protection locked="0"/>
    </xf>
    <xf numFmtId="0" fontId="41" fillId="4" borderId="8" xfId="0" applyFont="1" applyFill="1" applyBorder="1" applyAlignment="1" applyProtection="1">
      <alignment horizontal="left" vertical="center"/>
      <protection locked="0"/>
    </xf>
    <xf numFmtId="0" fontId="41" fillId="4" borderId="9" xfId="0" applyFont="1" applyFill="1" applyBorder="1" applyAlignment="1" applyProtection="1">
      <alignment horizontal="left" vertical="center"/>
      <protection locked="0"/>
    </xf>
    <xf numFmtId="0" fontId="2" fillId="0" borderId="3" xfId="0" applyFont="1" applyBorder="1" applyAlignment="1">
      <alignment horizontal="right" vertical="center"/>
    </xf>
    <xf numFmtId="0" fontId="2" fillId="0" borderId="12" xfId="0" applyFont="1" applyBorder="1" applyAlignment="1">
      <alignment horizontal="right" vertical="center"/>
    </xf>
    <xf numFmtId="0" fontId="61" fillId="0" borderId="0" xfId="0" applyFont="1" applyAlignment="1">
      <alignment horizontal="center"/>
    </xf>
    <xf numFmtId="0" fontId="22" fillId="2" borderId="0" xfId="0" applyFont="1" applyFill="1" applyAlignment="1">
      <alignment horizontal="center" vertical="center" wrapText="1"/>
    </xf>
    <xf numFmtId="0" fontId="17" fillId="2" borderId="0" xfId="0" applyFont="1" applyFill="1" applyAlignment="1">
      <alignment horizontal="center" vertical="center" wrapText="1"/>
    </xf>
    <xf numFmtId="0" fontId="41" fillId="4" borderId="1" xfId="0" applyFont="1" applyFill="1" applyBorder="1" applyAlignment="1" applyProtection="1">
      <alignment horizontal="left" vertical="center"/>
      <protection locked="0"/>
    </xf>
    <xf numFmtId="0" fontId="0" fillId="20" borderId="0" xfId="0" applyFill="1" applyAlignment="1">
      <alignment vertical="center" wrapText="1"/>
    </xf>
    <xf numFmtId="0" fontId="15" fillId="0" borderId="3"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9" fillId="8" borderId="0" xfId="0" applyFont="1" applyFill="1" applyAlignment="1">
      <alignment horizontal="right" vertical="center" wrapText="1"/>
    </xf>
    <xf numFmtId="0" fontId="6" fillId="8" borderId="0" xfId="1" applyFill="1" applyAlignment="1" applyProtection="1">
      <alignment horizontal="left" vertical="center" wrapText="1"/>
      <protection locked="0"/>
    </xf>
    <xf numFmtId="0" fontId="6" fillId="4" borderId="0" xfId="1" applyFill="1" applyBorder="1" applyAlignment="1" applyProtection="1">
      <alignment horizontal="left" vertical="center" wrapText="1"/>
      <protection locked="0"/>
    </xf>
    <xf numFmtId="0" fontId="63" fillId="4" borderId="0" xfId="1" applyFont="1" applyFill="1" applyBorder="1" applyAlignment="1" applyProtection="1">
      <alignment horizontal="left" vertical="center" wrapText="1"/>
      <protection locked="0"/>
    </xf>
    <xf numFmtId="0" fontId="2" fillId="20" borderId="0" xfId="0" applyFont="1" applyFill="1" applyAlignment="1">
      <alignment horizontal="center" vertical="center" wrapText="1"/>
    </xf>
    <xf numFmtId="0" fontId="0" fillId="20" borderId="0" xfId="0" applyFill="1" applyAlignment="1">
      <alignment horizontal="center" vertical="center" wrapText="1"/>
    </xf>
    <xf numFmtId="0" fontId="11" fillId="0" borderId="0" xfId="0" applyFont="1" applyAlignment="1">
      <alignment horizontal="center" vertical="center" wrapText="1"/>
    </xf>
    <xf numFmtId="0" fontId="72" fillId="0" borderId="0" xfId="0" applyFont="1" applyFill="1" applyBorder="1" applyAlignment="1">
      <alignment horizontal="left" vertical="center" wrapText="1"/>
    </xf>
    <xf numFmtId="0" fontId="16" fillId="0" borderId="0" xfId="0" applyFont="1" applyFill="1" applyAlignment="1">
      <alignment vertical="top" wrapText="1"/>
    </xf>
    <xf numFmtId="0" fontId="72" fillId="0" borderId="0" xfId="0" applyFont="1" applyAlignment="1">
      <alignment horizontal="left" vertical="center" wrapText="1"/>
    </xf>
    <xf numFmtId="0" fontId="72" fillId="0" borderId="0" xfId="0" applyFont="1" applyFill="1" applyAlignment="1">
      <alignment horizontal="left" vertical="center" wrapText="1"/>
    </xf>
    <xf numFmtId="0" fontId="8" fillId="4" borderId="1" xfId="0" applyFont="1" applyFill="1" applyBorder="1" applyProtection="1">
      <protection locked="0"/>
    </xf>
    <xf numFmtId="0" fontId="59" fillId="6" borderId="0" xfId="0" applyFont="1" applyFill="1" applyAlignment="1">
      <alignment horizontal="justify" vertical="center" wrapText="1"/>
    </xf>
    <xf numFmtId="0" fontId="2" fillId="3" borderId="3" xfId="0" applyFont="1" applyFill="1" applyBorder="1" applyAlignment="1">
      <alignment horizontal="left" vertical="center"/>
    </xf>
    <xf numFmtId="0" fontId="2" fillId="3" borderId="0" xfId="0" applyFont="1" applyFill="1" applyBorder="1" applyAlignment="1">
      <alignment horizontal="left" vertical="center"/>
    </xf>
    <xf numFmtId="0" fontId="2" fillId="3" borderId="12" xfId="0" applyFont="1" applyFill="1" applyBorder="1" applyAlignment="1">
      <alignment horizontal="left" vertical="center"/>
    </xf>
    <xf numFmtId="0" fontId="36" fillId="0" borderId="0" xfId="0" applyFont="1" applyAlignment="1">
      <alignment horizontal="center" vertical="center" wrapText="1"/>
    </xf>
    <xf numFmtId="0" fontId="5" fillId="0" borderId="0" xfId="0" applyFont="1" applyAlignment="1">
      <alignment horizontal="left" wrapText="1"/>
    </xf>
    <xf numFmtId="0" fontId="5" fillId="0" borderId="12" xfId="0" applyFont="1" applyBorder="1" applyAlignment="1">
      <alignment horizontal="left" wrapText="1"/>
    </xf>
    <xf numFmtId="0" fontId="55" fillId="0" borderId="0" xfId="0" applyFont="1" applyAlignment="1">
      <alignment horizontal="left"/>
    </xf>
    <xf numFmtId="0" fontId="23" fillId="3" borderId="0" xfId="0" applyFont="1" applyFill="1" applyAlignment="1">
      <alignment horizontal="justify" vertical="center" wrapText="1"/>
    </xf>
    <xf numFmtId="0" fontId="2" fillId="3" borderId="3" xfId="0" applyFont="1" applyFill="1" applyBorder="1" applyAlignment="1">
      <alignment vertical="center" wrapText="1"/>
    </xf>
    <xf numFmtId="0" fontId="2" fillId="3" borderId="0" xfId="0" applyFont="1" applyFill="1" applyBorder="1" applyAlignment="1">
      <alignment vertical="center"/>
    </xf>
    <xf numFmtId="0" fontId="16" fillId="0" borderId="0" xfId="0" applyFont="1" applyAlignment="1">
      <alignment wrapText="1"/>
    </xf>
    <xf numFmtId="0" fontId="30" fillId="7" borderId="10" xfId="0" applyFont="1" applyFill="1" applyBorder="1" applyAlignment="1">
      <alignment horizontal="center" vertical="center" wrapText="1"/>
    </xf>
    <xf numFmtId="0" fontId="30" fillId="7" borderId="11" xfId="0" applyFont="1" applyFill="1" applyBorder="1" applyAlignment="1">
      <alignment horizontal="center" vertical="center" wrapText="1"/>
    </xf>
    <xf numFmtId="0" fontId="30" fillId="7" borderId="13" xfId="0" applyFont="1" applyFill="1" applyBorder="1" applyAlignment="1">
      <alignment horizontal="center" vertical="center" wrapText="1"/>
    </xf>
    <xf numFmtId="0" fontId="41" fillId="7" borderId="0" xfId="0" applyFont="1" applyFill="1" applyBorder="1" applyAlignment="1" applyProtection="1">
      <alignment horizontal="left" vertical="center"/>
      <protection locked="0"/>
    </xf>
    <xf numFmtId="0" fontId="49" fillId="0" borderId="0" xfId="0" applyFont="1" applyAlignment="1">
      <alignment horizontal="center" wrapText="1"/>
    </xf>
    <xf numFmtId="0" fontId="2" fillId="14" borderId="5" xfId="0" applyFont="1" applyFill="1" applyBorder="1" applyAlignment="1">
      <alignment horizontal="justify" vertical="center" wrapText="1"/>
    </xf>
    <xf numFmtId="0" fontId="23" fillId="14" borderId="6" xfId="0" applyFont="1" applyFill="1" applyBorder="1" applyAlignment="1">
      <alignment horizontal="justify" vertical="center" wrapText="1"/>
    </xf>
    <xf numFmtId="0" fontId="23" fillId="14" borderId="14" xfId="0" applyFont="1" applyFill="1" applyBorder="1" applyAlignment="1">
      <alignment horizontal="justify" vertical="center" wrapText="1"/>
    </xf>
    <xf numFmtId="0" fontId="30" fillId="15" borderId="3" xfId="0" applyFont="1" applyFill="1" applyBorder="1" applyAlignment="1">
      <alignment horizontal="center" vertical="center" wrapText="1"/>
    </xf>
    <xf numFmtId="0" fontId="30" fillId="15" borderId="0" xfId="0" applyFont="1" applyFill="1" applyBorder="1" applyAlignment="1">
      <alignment horizontal="center" vertical="center" wrapText="1"/>
    </xf>
    <xf numFmtId="0" fontId="30" fillId="15" borderId="12"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0" fillId="0" borderId="0" xfId="0" applyFont="1" applyAlignment="1" applyProtection="1">
      <alignment horizontal="center" vertical="center"/>
    </xf>
    <xf numFmtId="0" fontId="0" fillId="0" borderId="0" xfId="0" applyAlignment="1">
      <alignment horizontal="left" vertical="top"/>
    </xf>
    <xf numFmtId="0" fontId="0" fillId="0" borderId="0" xfId="0" applyFont="1" applyAlignment="1" applyProtection="1">
      <alignment horizontal="right" vertical="center"/>
    </xf>
    <xf numFmtId="0" fontId="52" fillId="0" borderId="0" xfId="0" applyFont="1" applyAlignment="1">
      <alignment horizontal="center" vertical="center"/>
    </xf>
    <xf numFmtId="0" fontId="50" fillId="7" borderId="0" xfId="0" applyFont="1" applyFill="1" applyAlignment="1">
      <alignment horizontal="center"/>
    </xf>
    <xf numFmtId="0" fontId="30" fillId="0" borderId="7"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0" fontId="2" fillId="6" borderId="3" xfId="0" applyFont="1" applyFill="1" applyBorder="1" applyAlignment="1">
      <alignment horizontal="justify" vertical="center" wrapText="1"/>
    </xf>
    <xf numFmtId="0" fontId="23" fillId="6" borderId="0" xfId="0" applyFont="1" applyFill="1" applyBorder="1" applyAlignment="1">
      <alignment horizontal="justify" vertical="center" wrapText="1"/>
    </xf>
    <xf numFmtId="0" fontId="23" fillId="6" borderId="12" xfId="0" applyFont="1" applyFill="1" applyBorder="1" applyAlignment="1">
      <alignment horizontal="justify" vertical="center" wrapText="1"/>
    </xf>
    <xf numFmtId="0" fontId="30" fillId="6" borderId="0" xfId="0" applyFont="1" applyFill="1" applyAlignment="1">
      <alignment horizontal="left" vertical="center" wrapText="1"/>
    </xf>
    <xf numFmtId="0" fontId="30" fillId="6" borderId="12" xfId="0" applyFont="1" applyFill="1" applyBorder="1" applyAlignment="1">
      <alignment horizontal="left" vertical="center" wrapText="1"/>
    </xf>
    <xf numFmtId="0" fontId="36" fillId="7" borderId="0" xfId="0"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center" vertical="center"/>
    </xf>
    <xf numFmtId="0" fontId="2" fillId="7" borderId="7" xfId="0" applyFont="1" applyFill="1" applyBorder="1" applyAlignment="1">
      <alignment vertical="center" wrapText="1"/>
    </xf>
    <xf numFmtId="0" fontId="2" fillId="7" borderId="8" xfId="0" applyFont="1" applyFill="1" applyBorder="1" applyAlignment="1">
      <alignment vertical="center" wrapText="1"/>
    </xf>
    <xf numFmtId="0" fontId="2" fillId="7" borderId="9" xfId="0" applyFont="1" applyFill="1" applyBorder="1" applyAlignment="1">
      <alignment vertical="center" wrapText="1"/>
    </xf>
    <xf numFmtId="0" fontId="86" fillId="0" borderId="0" xfId="0" applyFont="1" applyAlignment="1">
      <alignment horizontal="center" vertical="center"/>
    </xf>
    <xf numFmtId="0" fontId="72" fillId="7" borderId="0" xfId="0" applyFont="1" applyFill="1" applyAlignment="1">
      <alignment vertical="center" wrapText="1"/>
    </xf>
    <xf numFmtId="0" fontId="72" fillId="7" borderId="12" xfId="0" applyFont="1" applyFill="1" applyBorder="1" applyAlignment="1">
      <alignment vertical="center" wrapText="1"/>
    </xf>
    <xf numFmtId="0" fontId="27" fillId="3" borderId="0" xfId="1" applyFont="1" applyFill="1" applyAlignment="1" applyProtection="1">
      <alignment horizontal="center" vertical="top" wrapText="1"/>
      <protection locked="0"/>
    </xf>
    <xf numFmtId="0" fontId="45" fillId="0" borderId="0" xfId="0" applyFont="1" applyAlignment="1">
      <alignment horizontal="center" vertical="center" wrapText="1"/>
    </xf>
    <xf numFmtId="0" fontId="55" fillId="0" borderId="0" xfId="0" applyFont="1" applyAlignment="1" applyProtection="1">
      <alignment horizontal="center" vertical="center"/>
    </xf>
    <xf numFmtId="0" fontId="2" fillId="7" borderId="3" xfId="0" applyFont="1" applyFill="1" applyBorder="1" applyAlignment="1">
      <alignment vertical="center"/>
    </xf>
    <xf numFmtId="0" fontId="2" fillId="7" borderId="0" xfId="0" applyFont="1" applyFill="1" applyBorder="1" applyAlignment="1">
      <alignment vertical="center"/>
    </xf>
    <xf numFmtId="0" fontId="2" fillId="0" borderId="0" xfId="0" applyFont="1" applyAlignment="1" applyProtection="1">
      <alignment horizontal="left" vertical="top" wrapText="1"/>
      <protection locked="0"/>
    </xf>
    <xf numFmtId="0" fontId="30" fillId="20" borderId="7" xfId="0" applyFont="1" applyFill="1" applyBorder="1" applyAlignment="1">
      <alignment vertical="center" wrapText="1"/>
    </xf>
    <xf numFmtId="0" fontId="30" fillId="20" borderId="8" xfId="0" applyFont="1" applyFill="1" applyBorder="1" applyAlignment="1">
      <alignment vertical="center" wrapText="1"/>
    </xf>
    <xf numFmtId="0" fontId="30" fillId="20" borderId="9" xfId="0" applyFont="1" applyFill="1" applyBorder="1" applyAlignment="1">
      <alignment vertical="center" wrapText="1"/>
    </xf>
    <xf numFmtId="0" fontId="36" fillId="0" borderId="0" xfId="0" applyFont="1" applyFill="1" applyBorder="1" applyAlignment="1">
      <alignment horizontal="center" vertical="center"/>
    </xf>
    <xf numFmtId="0" fontId="25" fillId="7" borderId="5" xfId="0" applyFont="1" applyFill="1" applyBorder="1" applyAlignment="1">
      <alignment vertical="center" wrapText="1"/>
    </xf>
    <xf numFmtId="0" fontId="25" fillId="7" borderId="6" xfId="0" applyFont="1" applyFill="1" applyBorder="1" applyAlignment="1">
      <alignment vertical="center" wrapText="1"/>
    </xf>
    <xf numFmtId="0" fontId="25" fillId="7" borderId="14" xfId="0" applyFont="1" applyFill="1" applyBorder="1" applyAlignment="1">
      <alignment vertical="center" wrapText="1"/>
    </xf>
    <xf numFmtId="0" fontId="32" fillId="20" borderId="5" xfId="0" applyFont="1" applyFill="1" applyBorder="1" applyAlignment="1">
      <alignment horizontal="justify" vertical="center" wrapText="1"/>
    </xf>
    <xf numFmtId="0" fontId="32" fillId="20" borderId="6" xfId="0" applyFont="1" applyFill="1" applyBorder="1" applyAlignment="1">
      <alignment horizontal="justify" vertical="center" wrapText="1"/>
    </xf>
    <xf numFmtId="0" fontId="32" fillId="20" borderId="14" xfId="0" applyFont="1" applyFill="1" applyBorder="1" applyAlignment="1">
      <alignment horizontal="justify" vertical="center" wrapText="1"/>
    </xf>
    <xf numFmtId="0" fontId="31" fillId="7" borderId="5" xfId="0" applyFont="1" applyFill="1" applyBorder="1" applyAlignment="1">
      <alignment horizontal="left" vertical="center"/>
    </xf>
    <xf numFmtId="0" fontId="31" fillId="7" borderId="6" xfId="0" applyFont="1" applyFill="1" applyBorder="1" applyAlignment="1">
      <alignment horizontal="left" vertical="center"/>
    </xf>
    <xf numFmtId="0" fontId="31" fillId="7" borderId="10" xfId="0" applyFont="1" applyFill="1" applyBorder="1" applyAlignment="1">
      <alignment horizontal="left" vertical="center"/>
    </xf>
    <xf numFmtId="0" fontId="31" fillId="7" borderId="11" xfId="0" applyFont="1" applyFill="1" applyBorder="1" applyAlignment="1">
      <alignment horizontal="left" vertical="center"/>
    </xf>
    <xf numFmtId="0" fontId="31" fillId="7" borderId="13" xfId="0" applyFont="1" applyFill="1" applyBorder="1" applyAlignment="1">
      <alignment horizontal="left" vertical="center"/>
    </xf>
    <xf numFmtId="0" fontId="0" fillId="20" borderId="7" xfId="0" applyFill="1" applyBorder="1"/>
    <xf numFmtId="0" fontId="0" fillId="20" borderId="8" xfId="0" applyFill="1" applyBorder="1"/>
    <xf numFmtId="0" fontId="20" fillId="0" borderId="0" xfId="0" applyFont="1" applyAlignment="1">
      <alignment wrapText="1"/>
    </xf>
    <xf numFmtId="0" fontId="30" fillId="11" borderId="7" xfId="0" applyFont="1" applyFill="1" applyBorder="1" applyAlignment="1">
      <alignment horizontal="center" vertical="center"/>
    </xf>
    <xf numFmtId="0" fontId="30" fillId="11" borderId="8" xfId="0" applyFont="1" applyFill="1" applyBorder="1" applyAlignment="1">
      <alignment horizontal="center" vertical="center"/>
    </xf>
    <xf numFmtId="0" fontId="30" fillId="11" borderId="13" xfId="0" applyFont="1" applyFill="1" applyBorder="1" applyAlignment="1">
      <alignment horizontal="center" vertical="center"/>
    </xf>
    <xf numFmtId="0" fontId="30" fillId="0" borderId="0" xfId="0" applyFont="1" applyFill="1" applyAlignment="1">
      <alignment horizontal="justify" vertical="center" wrapText="1"/>
    </xf>
    <xf numFmtId="0" fontId="27" fillId="6" borderId="5" xfId="1" applyFont="1" applyFill="1" applyBorder="1" applyAlignment="1" applyProtection="1">
      <alignment horizontal="center" vertical="center" wrapText="1"/>
      <protection locked="0"/>
    </xf>
    <xf numFmtId="0" fontId="27" fillId="6" borderId="6" xfId="1" applyFont="1" applyFill="1" applyBorder="1" applyAlignment="1" applyProtection="1">
      <alignment horizontal="center" vertical="center" wrapText="1"/>
      <protection locked="0"/>
    </xf>
    <xf numFmtId="0" fontId="27" fillId="6" borderId="14" xfId="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30" fillId="7" borderId="0" xfId="0" applyFont="1" applyFill="1" applyAlignment="1">
      <alignment vertical="center"/>
    </xf>
    <xf numFmtId="0" fontId="30" fillId="7" borderId="0" xfId="0" applyFont="1" applyFill="1" applyBorder="1" applyAlignment="1">
      <alignment vertical="center"/>
    </xf>
    <xf numFmtId="0" fontId="30" fillId="16" borderId="7" xfId="0" applyFont="1" applyFill="1" applyBorder="1" applyAlignment="1">
      <alignment horizontal="left" vertical="center" wrapText="1"/>
    </xf>
    <xf numFmtId="0" fontId="30" fillId="16" borderId="8" xfId="0" applyFont="1" applyFill="1" applyBorder="1" applyAlignment="1">
      <alignment horizontal="left" vertical="center" wrapText="1"/>
    </xf>
    <xf numFmtId="0" fontId="30" fillId="16" borderId="9" xfId="0" applyFont="1" applyFill="1" applyBorder="1" applyAlignment="1">
      <alignment horizontal="left" vertical="center" wrapText="1"/>
    </xf>
    <xf numFmtId="0" fontId="30" fillId="25" borderId="7" xfId="0" applyFont="1" applyFill="1" applyBorder="1" applyAlignment="1">
      <alignment horizontal="center" vertical="center" wrapText="1"/>
    </xf>
    <xf numFmtId="0" fontId="30" fillId="25" borderId="8" xfId="0" applyFont="1" applyFill="1" applyBorder="1" applyAlignment="1">
      <alignment horizontal="center" vertical="center" wrapText="1"/>
    </xf>
    <xf numFmtId="0" fontId="30" fillId="25" borderId="9" xfId="0" applyFont="1" applyFill="1" applyBorder="1" applyAlignment="1">
      <alignment horizontal="center" vertical="center" wrapText="1"/>
    </xf>
    <xf numFmtId="0" fontId="2" fillId="7" borderId="10" xfId="0" applyFont="1" applyFill="1" applyBorder="1" applyAlignment="1">
      <alignment vertical="center" wrapText="1"/>
    </xf>
    <xf numFmtId="0" fontId="2" fillId="7" borderId="11" xfId="0" applyFont="1" applyFill="1" applyBorder="1" applyAlignment="1">
      <alignment vertical="center" wrapText="1"/>
    </xf>
    <xf numFmtId="0" fontId="0" fillId="0" borderId="0" xfId="0" applyFont="1" applyAlignment="1">
      <alignment vertical="top" wrapText="1"/>
    </xf>
    <xf numFmtId="0" fontId="16" fillId="0" borderId="0" xfId="0" applyFont="1" applyBorder="1" applyAlignment="1">
      <alignment vertical="center" wrapText="1"/>
    </xf>
    <xf numFmtId="0" fontId="69" fillId="0" borderId="0" xfId="0" applyFont="1" applyAlignment="1">
      <alignment horizontal="center" vertical="center"/>
    </xf>
    <xf numFmtId="0" fontId="75" fillId="0" borderId="0" xfId="0" applyFont="1" applyAlignment="1">
      <alignment horizontal="right" vertical="center"/>
    </xf>
    <xf numFmtId="0" fontId="52" fillId="0" borderId="0" xfId="0" applyFont="1" applyFill="1" applyBorder="1" applyAlignment="1" applyProtection="1">
      <alignment horizontal="center" vertical="center"/>
      <protection locked="0"/>
    </xf>
    <xf numFmtId="0" fontId="0" fillId="0" borderId="0" xfId="0" applyAlignment="1">
      <alignment vertical="center"/>
    </xf>
    <xf numFmtId="0" fontId="52" fillId="0" borderId="0" xfId="0" applyFont="1" applyAlignment="1" applyProtection="1">
      <alignment horizontal="center" vertical="center"/>
      <protection locked="0"/>
    </xf>
    <xf numFmtId="0" fontId="71" fillId="18" borderId="0" xfId="0" applyFont="1" applyFill="1" applyAlignment="1">
      <alignment horizontal="center" vertical="center" wrapText="1"/>
    </xf>
    <xf numFmtId="0" fontId="41" fillId="3" borderId="7" xfId="0" applyFont="1" applyFill="1" applyBorder="1" applyAlignment="1" applyProtection="1">
      <alignment horizontal="left" vertical="center"/>
    </xf>
    <xf numFmtId="0" fontId="41" fillId="3" borderId="8" xfId="0" applyFont="1" applyFill="1" applyBorder="1" applyAlignment="1" applyProtection="1">
      <alignment horizontal="left" vertical="center"/>
    </xf>
    <xf numFmtId="0" fontId="41" fillId="3" borderId="9" xfId="0" applyFont="1" applyFill="1" applyBorder="1" applyAlignment="1" applyProtection="1">
      <alignment horizontal="left" vertical="center"/>
    </xf>
    <xf numFmtId="0" fontId="2" fillId="0" borderId="0" xfId="0" applyFont="1" applyAlignment="1">
      <alignment vertical="center" wrapText="1"/>
    </xf>
    <xf numFmtId="0" fontId="41" fillId="3" borderId="1" xfId="0" applyFont="1" applyFill="1" applyBorder="1" applyAlignment="1" applyProtection="1">
      <alignment horizontal="left" vertical="center"/>
    </xf>
    <xf numFmtId="0" fontId="23" fillId="19" borderId="0" xfId="0" applyFont="1" applyFill="1" applyAlignment="1">
      <alignment horizontal="justify" vertical="center" wrapText="1"/>
    </xf>
    <xf numFmtId="0" fontId="16" fillId="19" borderId="0" xfId="0" applyFont="1" applyFill="1" applyAlignment="1">
      <alignment vertical="top" wrapText="1"/>
    </xf>
    <xf numFmtId="0" fontId="73" fillId="0" borderId="0" xfId="0" applyFont="1" applyAlignment="1">
      <alignment horizontal="center"/>
    </xf>
    <xf numFmtId="0" fontId="66" fillId="0" borderId="0" xfId="0" applyFont="1" applyFill="1" applyAlignment="1">
      <alignment horizontal="justify" vertical="center" wrapText="1"/>
    </xf>
    <xf numFmtId="0" fontId="66" fillId="0" borderId="0" xfId="0" applyFont="1" applyFill="1" applyBorder="1" applyAlignment="1">
      <alignment horizontal="justify" vertical="center" wrapText="1"/>
    </xf>
    <xf numFmtId="0" fontId="82" fillId="7" borderId="0" xfId="0" applyFont="1" applyFill="1" applyBorder="1" applyAlignment="1">
      <alignment horizontal="left" vertical="center" wrapText="1"/>
    </xf>
    <xf numFmtId="0" fontId="46" fillId="0" borderId="0" xfId="1" applyFont="1" applyAlignment="1" applyProtection="1">
      <alignment vertical="center" wrapText="1"/>
      <protection locked="0"/>
    </xf>
    <xf numFmtId="0" fontId="26" fillId="0" borderId="0" xfId="0" applyFont="1" applyAlignment="1">
      <alignment horizontal="left" vertical="center" wrapText="1"/>
    </xf>
    <xf numFmtId="0" fontId="53" fillId="7" borderId="0" xfId="0" applyFont="1" applyFill="1" applyBorder="1" applyAlignment="1" applyProtection="1">
      <alignment horizontal="left" vertical="center"/>
      <protection locked="0"/>
    </xf>
    <xf numFmtId="0" fontId="53" fillId="7"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lignment horizontal="left" wrapText="1"/>
    </xf>
    <xf numFmtId="0" fontId="0" fillId="0" borderId="0" xfId="0" applyAlignment="1" applyProtection="1">
      <alignment vertical="top" wrapText="1"/>
      <protection locked="0"/>
    </xf>
    <xf numFmtId="0" fontId="2" fillId="0" borderId="0" xfId="0" applyFont="1" applyAlignment="1"/>
    <xf numFmtId="0" fontId="2" fillId="0" borderId="0" xfId="0" applyFont="1" applyAlignment="1">
      <alignment horizontal="left" vertical="top" wrapText="1"/>
    </xf>
    <xf numFmtId="0" fontId="74" fillId="7" borderId="7" xfId="0" applyFont="1" applyFill="1" applyBorder="1" applyAlignment="1">
      <alignment horizontal="center" vertical="center" wrapText="1"/>
    </xf>
    <xf numFmtId="0" fontId="74" fillId="7" borderId="8" xfId="0" applyFont="1" applyFill="1" applyBorder="1" applyAlignment="1">
      <alignment horizontal="center" vertical="center" wrapText="1"/>
    </xf>
    <xf numFmtId="0" fontId="74" fillId="7" borderId="9" xfId="0" applyFont="1" applyFill="1" applyBorder="1" applyAlignment="1">
      <alignment horizontal="center" vertical="center" wrapText="1"/>
    </xf>
    <xf numFmtId="0" fontId="31" fillId="7" borderId="19" xfId="0" applyFont="1" applyFill="1" applyBorder="1" applyAlignment="1">
      <alignment horizontal="left" vertical="center"/>
    </xf>
    <xf numFmtId="0" fontId="31" fillId="7" borderId="20" xfId="0" applyFont="1" applyFill="1" applyBorder="1" applyAlignment="1">
      <alignment horizontal="left" vertical="center"/>
    </xf>
    <xf numFmtId="0" fontId="31" fillId="7" borderId="21" xfId="0" applyFont="1" applyFill="1" applyBorder="1" applyAlignment="1">
      <alignment horizontal="left" vertical="center"/>
    </xf>
    <xf numFmtId="0" fontId="2" fillId="0" borderId="0" xfId="0" applyFont="1" applyAlignment="1" applyProtection="1">
      <alignment vertical="top" wrapText="1"/>
      <protection locked="0"/>
    </xf>
    <xf numFmtId="0" fontId="46" fillId="0" borderId="0" xfId="1" applyFont="1" applyAlignment="1">
      <alignment vertical="center" wrapText="1"/>
    </xf>
    <xf numFmtId="0" fontId="32" fillId="21" borderId="10" xfId="0" applyFont="1" applyFill="1" applyBorder="1" applyAlignment="1">
      <alignment vertical="center"/>
    </xf>
    <xf numFmtId="0" fontId="32" fillId="21" borderId="11" xfId="0" applyFont="1" applyFill="1" applyBorder="1" applyAlignment="1">
      <alignment vertical="center"/>
    </xf>
    <xf numFmtId="0" fontId="32" fillId="21" borderId="13" xfId="0" applyFont="1" applyFill="1" applyBorder="1" applyAlignment="1">
      <alignment vertical="center"/>
    </xf>
    <xf numFmtId="0" fontId="32" fillId="7" borderId="5" xfId="0" applyFont="1" applyFill="1" applyBorder="1" applyAlignment="1">
      <alignment vertical="center"/>
    </xf>
    <xf numFmtId="0" fontId="32" fillId="7" borderId="6" xfId="0" applyFont="1" applyFill="1" applyBorder="1" applyAlignment="1">
      <alignment vertical="center"/>
    </xf>
    <xf numFmtId="0" fontId="2" fillId="0" borderId="0" xfId="0" applyFont="1" applyAlignment="1">
      <alignment horizontal="center" vertical="center"/>
    </xf>
    <xf numFmtId="0" fontId="32" fillId="0" borderId="0" xfId="0" applyFont="1" applyAlignment="1">
      <alignment vertical="center" wrapText="1"/>
    </xf>
    <xf numFmtId="0" fontId="0" fillId="0" borderId="0" xfId="0" applyAlignment="1" applyProtection="1">
      <alignment wrapText="1"/>
      <protection locked="0"/>
    </xf>
    <xf numFmtId="0" fontId="2" fillId="0" borderId="0" xfId="0" applyFont="1"/>
    <xf numFmtId="0" fontId="64" fillId="7" borderId="0" xfId="1" applyFont="1" applyFill="1" applyAlignment="1" applyProtection="1">
      <alignment vertical="center" wrapText="1"/>
      <protection locked="0"/>
    </xf>
    <xf numFmtId="0" fontId="2" fillId="0" borderId="0" xfId="0" applyFont="1" applyAlignment="1">
      <alignment horizontal="left" vertical="center"/>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Font="1" applyAlignment="1" applyProtection="1">
      <alignment vertical="top" wrapText="1"/>
      <protection locked="0"/>
    </xf>
    <xf numFmtId="0" fontId="76" fillId="7" borderId="0" xfId="0" applyFont="1" applyFill="1" applyBorder="1" applyAlignment="1">
      <alignment horizontal="center" vertical="center" wrapText="1"/>
    </xf>
    <xf numFmtId="0" fontId="54" fillId="7" borderId="0" xfId="0" applyFont="1" applyFill="1" applyBorder="1" applyAlignment="1">
      <alignment horizontal="center" vertical="center" wrapText="1"/>
    </xf>
    <xf numFmtId="0" fontId="29" fillId="27" borderId="0" xfId="0" applyFont="1" applyFill="1" applyAlignment="1">
      <alignment vertical="center"/>
    </xf>
    <xf numFmtId="0" fontId="2" fillId="0" borderId="0" xfId="0" applyFont="1" applyAlignment="1">
      <alignment horizontal="center" vertical="center" wrapText="1"/>
    </xf>
    <xf numFmtId="0" fontId="2" fillId="7" borderId="0" xfId="0" applyFont="1" applyFill="1" applyBorder="1" applyAlignment="1">
      <alignment horizontal="center" vertical="center" wrapText="1"/>
    </xf>
  </cellXfs>
  <cellStyles count="3">
    <cellStyle name="Hyperlink" xfId="1" builtinId="8"/>
    <cellStyle name="Normal" xfId="0" builtinId="0"/>
    <cellStyle name="Percent" xfId="2" builtinId="5"/>
  </cellStyles>
  <dxfs count="1003">
    <dxf>
      <font>
        <b/>
        <i val="0"/>
        <color rgb="FF0070C0"/>
      </font>
      <fill>
        <patternFill>
          <bgColor rgb="FFF2DCDB"/>
        </patternFill>
      </fill>
    </dxf>
    <dxf>
      <fill>
        <patternFill>
          <bgColor rgb="FFFFFF00"/>
        </patternFill>
      </fill>
    </dxf>
    <dxf>
      <fill>
        <patternFill>
          <bgColor rgb="FF92D050"/>
        </patternFill>
      </fill>
    </dxf>
    <dxf>
      <font>
        <b/>
        <i val="0"/>
        <color rgb="FFC00000"/>
      </font>
      <fill>
        <patternFill>
          <bgColor rgb="FFFCFEB4"/>
        </patternFill>
      </fill>
    </dxf>
    <dxf>
      <fill>
        <patternFill>
          <bgColor theme="9" tint="0.79998168889431442"/>
        </patternFill>
      </fill>
    </dxf>
    <dxf>
      <font>
        <b/>
        <i val="0"/>
      </font>
      <fill>
        <patternFill>
          <bgColor rgb="FFFFB9B9"/>
        </patternFill>
      </fill>
      <border>
        <left style="thin">
          <color auto="1"/>
        </left>
        <right style="thin">
          <color auto="1"/>
        </right>
        <top/>
        <bottom/>
        <vertical/>
        <horizontal/>
      </border>
    </dxf>
    <dxf>
      <fill>
        <patternFill>
          <bgColor theme="7" tint="0.79998168889431442"/>
        </patternFill>
      </fill>
      <border>
        <left style="thin">
          <color auto="1"/>
        </left>
        <right style="thin">
          <color auto="1"/>
        </right>
      </border>
    </dxf>
    <dxf>
      <fill>
        <patternFill>
          <bgColor theme="7" tint="0.79998168889431442"/>
        </patternFill>
      </fill>
      <border>
        <left style="thin">
          <color auto="1"/>
        </left>
        <right style="thin">
          <color auto="1"/>
        </right>
        <top style="thin">
          <color auto="1"/>
        </top>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fill>
        <patternFill>
          <bgColor rgb="FFECDFF5"/>
        </patternFill>
      </fill>
      <border>
        <left style="thin">
          <color auto="1"/>
        </left>
        <right style="thin">
          <color auto="1"/>
        </right>
        <top style="thin">
          <color auto="1"/>
        </top>
        <bottom style="thin">
          <color auto="1"/>
        </bottom>
        <vertical/>
        <horizontal/>
      </border>
    </dxf>
    <dxf>
      <fill>
        <patternFill>
          <bgColor theme="9" tint="0.79998168889431442"/>
        </patternFill>
      </fill>
    </dxf>
    <dxf>
      <font>
        <b/>
        <i val="0"/>
        <color rgb="FF0070C0"/>
      </font>
      <fill>
        <patternFill>
          <bgColor rgb="FFE8D9F3"/>
        </patternFill>
      </fill>
      <border>
        <left style="thin">
          <color auto="1"/>
        </left>
        <right style="thin">
          <color auto="1"/>
        </right>
        <top style="thin">
          <color auto="1"/>
        </top>
        <bottom style="thin">
          <color auto="1"/>
        </bottom>
      </border>
    </dxf>
    <dxf>
      <fill>
        <patternFill>
          <bgColor rgb="FFE8D9F3"/>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FF00"/>
        </patternFill>
      </fill>
    </dxf>
    <dxf>
      <font>
        <b/>
        <i val="0"/>
        <color theme="0"/>
      </font>
      <fill>
        <patternFill>
          <bgColor rgb="FF0070C0"/>
        </patternFill>
      </fill>
    </dxf>
    <dxf>
      <fill>
        <patternFill>
          <bgColor rgb="FFFFFF00"/>
        </patternFill>
      </fill>
    </dxf>
    <dxf>
      <fill>
        <patternFill>
          <bgColor rgb="FFFFFF00"/>
        </patternFill>
      </fill>
    </dxf>
    <dxf>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border>
        <left/>
        <right/>
        <top/>
        <bottom/>
      </border>
    </dxf>
    <dxf>
      <font>
        <color rgb="FFC00000"/>
      </font>
      <fill>
        <patternFill>
          <bgColor rgb="FFFFFF00"/>
        </patternFill>
      </fill>
    </dxf>
    <dxf>
      <fill>
        <patternFill>
          <bgColor rgb="FF26619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266196"/>
        </patternFill>
      </fill>
    </dxf>
    <dxf>
      <font>
        <b/>
        <i val="0"/>
        <color theme="0"/>
      </font>
      <fill>
        <patternFill>
          <bgColor rgb="FF0070C0"/>
        </patternFill>
      </fill>
    </dxf>
    <dxf>
      <fill>
        <patternFill>
          <bgColor rgb="FF92D050"/>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70C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FF00"/>
        </patternFill>
      </fill>
    </dxf>
    <dxf>
      <fill>
        <patternFill>
          <bgColor rgb="FFFFFF00"/>
        </patternFill>
      </fill>
    </dxf>
    <dxf>
      <fill>
        <patternFill>
          <bgColor rgb="FFFFFF0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9B9B"/>
        </patternFill>
      </fill>
    </dxf>
    <dxf>
      <fill>
        <patternFill>
          <bgColor rgb="FF92D050"/>
        </patternFill>
      </fill>
    </dxf>
    <dxf>
      <fill>
        <patternFill>
          <bgColor rgb="FFEFE5F7"/>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b/>
        <i val="0"/>
        <color theme="0"/>
      </font>
      <fill>
        <patternFill>
          <bgColor rgb="FF0070C0"/>
        </patternFill>
      </fill>
    </dxf>
    <dxf>
      <fill>
        <patternFill>
          <bgColor theme="3" tint="0.79998168889431442"/>
        </patternFill>
      </fill>
    </dxf>
    <dxf>
      <fill>
        <patternFill>
          <bgColor theme="3"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0070C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rgb="FF0070C0"/>
      </font>
      <fill>
        <patternFill>
          <bgColor theme="7" tint="0.79998168889431442"/>
        </patternFill>
      </fill>
    </dxf>
    <dxf>
      <font>
        <color rgb="FFC00000"/>
      </font>
      <fill>
        <patternFill>
          <bgColor rgb="FFFFFF00"/>
        </patternFill>
      </fill>
    </dxf>
    <dxf>
      <font>
        <color rgb="FFC00000"/>
      </font>
      <fill>
        <patternFill>
          <bgColor rgb="FFFFFF00"/>
        </patternFill>
      </fill>
    </dxf>
    <dxf>
      <font>
        <b/>
        <i val="0"/>
        <color theme="0"/>
      </font>
      <fill>
        <patternFill>
          <bgColor rgb="FF0070C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797"/>
        </patternFill>
      </fill>
    </dxf>
    <dxf>
      <fill>
        <patternFill>
          <bgColor rgb="FF92D05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C00000"/>
      </font>
      <fill>
        <patternFill>
          <bgColor rgb="FFFFFF00"/>
        </patternFill>
      </fill>
    </dxf>
    <dxf>
      <font>
        <color rgb="FFC00000"/>
      </font>
      <fill>
        <patternFill>
          <bgColor rgb="FFFFFF00"/>
        </patternFill>
      </fill>
    </dxf>
    <dxf>
      <font>
        <color rgb="FFFF0000"/>
      </font>
      <fill>
        <patternFill>
          <bgColor rgb="FFFFFF00"/>
        </patternFill>
      </fill>
    </dxf>
    <dxf>
      <fill>
        <patternFill>
          <bgColor rgb="FFFF9B9B"/>
        </patternFill>
      </fill>
    </dxf>
    <dxf>
      <fill>
        <patternFill>
          <bgColor rgb="FF92D050"/>
        </patternFill>
      </fill>
    </dxf>
    <dxf>
      <fill>
        <patternFill>
          <bgColor theme="3" tint="0.79998168889431442"/>
        </patternFill>
      </fill>
    </dxf>
    <dxf>
      <fill>
        <patternFill>
          <bgColor theme="3"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border>
        <left/>
        <right/>
        <top/>
        <bottom/>
      </border>
    </dxf>
    <dxf>
      <fill>
        <patternFill>
          <bgColor rgb="FF92D050"/>
        </patternFill>
      </fill>
    </dxf>
    <dxf>
      <fill>
        <patternFill>
          <bgColor rgb="FFFF9B9B"/>
        </patternFill>
      </fill>
    </dxf>
    <dxf>
      <fill>
        <patternFill>
          <bgColor rgb="FFFF9B9B"/>
        </patternFill>
      </fill>
    </dxf>
    <dxf>
      <fill>
        <patternFill>
          <bgColor rgb="FF92D05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FF0000"/>
      </font>
      <fill>
        <patternFill>
          <bgColor rgb="FFFFFF00"/>
        </patternFill>
      </fill>
    </dxf>
    <dxf>
      <fill>
        <patternFill>
          <bgColor rgb="FFFF9B9B"/>
        </patternFill>
      </fill>
    </dxf>
    <dxf>
      <fill>
        <patternFill>
          <bgColor rgb="FF92D050"/>
        </patternFill>
      </fill>
    </dxf>
    <dxf>
      <fill>
        <patternFill>
          <bgColor rgb="FF92D050"/>
        </patternFill>
      </fill>
    </dxf>
    <dxf>
      <fill>
        <patternFill>
          <bgColor rgb="FFFF9B9B"/>
        </patternFill>
      </fill>
    </dxf>
    <dxf>
      <font>
        <color rgb="FFC00000"/>
      </font>
      <fill>
        <patternFill>
          <bgColor rgb="FFFFFF00"/>
        </patternFill>
      </fill>
      <border>
        <left/>
        <right/>
        <top/>
        <bottom/>
      </border>
    </dxf>
    <dxf>
      <fill>
        <patternFill>
          <bgColor theme="3" tint="0.79998168889431442"/>
        </patternFill>
      </fill>
    </dxf>
    <dxf>
      <fill>
        <patternFill>
          <bgColor theme="3" tint="0.79998168889431442"/>
        </patternFill>
      </fill>
    </dxf>
    <dxf>
      <font>
        <b/>
        <i val="0"/>
        <color rgb="FFC00000"/>
      </font>
      <fill>
        <patternFill>
          <bgColor rgb="FFFFFF00"/>
        </patternFill>
      </fill>
    </dxf>
    <dxf>
      <font>
        <color theme="0"/>
      </font>
      <fill>
        <patternFill>
          <bgColor rgb="FF002060"/>
        </patternFill>
      </fill>
    </dxf>
    <dxf>
      <fill>
        <patternFill>
          <bgColor rgb="FFFFFF00"/>
        </patternFill>
      </fill>
    </dxf>
    <dxf>
      <fill>
        <patternFill>
          <bgColor rgb="FF92D05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rgb="FFC0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70C0"/>
      </font>
      <fill>
        <patternFill>
          <bgColor rgb="FFEFF6FB"/>
        </patternFill>
      </fill>
      <border>
        <left style="thin">
          <color auto="1"/>
        </left>
        <right style="thin">
          <color auto="1"/>
        </right>
        <top style="thin">
          <color auto="1"/>
        </top>
        <bottom style="thin">
          <color auto="1"/>
        </bottom>
        <vertical/>
        <horizontal/>
      </border>
    </dxf>
    <dxf>
      <fill>
        <patternFill>
          <bgColor rgb="FFFFFF00"/>
        </patternFill>
      </fill>
    </dxf>
    <dxf>
      <font>
        <color rgb="FF0070C0"/>
      </font>
      <fill>
        <patternFill>
          <bgColor rgb="FFEFF6FB"/>
        </patternFill>
      </fill>
      <border>
        <left style="thin">
          <color auto="1"/>
        </left>
        <right style="thin">
          <color auto="1"/>
        </right>
        <top style="thin">
          <color auto="1"/>
        </top>
        <bottom style="thin">
          <color auto="1"/>
        </bottom>
        <vertical/>
        <horizontal/>
      </border>
    </dxf>
    <dxf>
      <font>
        <color rgb="FF0070C0"/>
      </font>
      <fill>
        <patternFill>
          <bgColor rgb="FFEFF6FB"/>
        </patternFill>
      </fill>
      <border>
        <left style="thin">
          <color auto="1"/>
        </left>
        <right style="thin">
          <color auto="1"/>
        </right>
        <top style="thin">
          <color auto="1"/>
        </top>
        <bottom style="thin">
          <color auto="1"/>
        </bottom>
        <vertical/>
        <horizontal/>
      </border>
    </dxf>
    <dxf>
      <font>
        <color rgb="FF0070C0"/>
      </font>
      <fill>
        <patternFill>
          <bgColor rgb="FFEFF6FB"/>
        </patternFill>
      </fill>
      <border>
        <left style="thin">
          <color auto="1"/>
        </left>
        <right style="thin">
          <color auto="1"/>
        </right>
        <top style="thin">
          <color auto="1"/>
        </top>
        <bottom style="thin">
          <color auto="1"/>
        </bottom>
        <vertical/>
        <horizontal/>
      </border>
    </dxf>
    <dxf>
      <font>
        <color rgb="FF0070C0"/>
      </font>
      <fill>
        <patternFill>
          <bgColor rgb="FFEFF6FB"/>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DEFE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DEFE7"/>
        </patternFill>
      </fill>
    </dxf>
    <dxf>
      <fill>
        <patternFill>
          <bgColor rgb="FFFDEFE7"/>
        </patternFill>
      </fill>
    </dxf>
    <dxf>
      <fill>
        <patternFill>
          <bgColor rgb="FFFDEFE7"/>
        </patternFill>
      </fill>
    </dxf>
    <dxf>
      <fill>
        <patternFill>
          <bgColor rgb="FFFDEFE7"/>
        </patternFill>
      </fill>
    </dxf>
    <dxf>
      <fill>
        <patternFill>
          <bgColor rgb="FFFFFF00"/>
        </patternFill>
      </fill>
    </dxf>
    <dxf>
      <border>
        <left style="thin">
          <color auto="1"/>
        </left>
        <right style="thin">
          <color auto="1"/>
        </right>
        <top style="thin">
          <color auto="1"/>
        </top>
        <bottom style="thin">
          <color auto="1"/>
        </bottom>
        <vertical/>
        <horizontal/>
      </border>
    </dxf>
    <dxf>
      <fill>
        <patternFill>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DEFE7"/>
        </patternFill>
      </fill>
    </dxf>
    <dxf>
      <fill>
        <patternFill>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color theme="0"/>
      </font>
      <fill>
        <patternFill patternType="solid">
          <bgColor theme="8" tint="-0.24994659260841701"/>
        </patternFill>
      </fill>
    </dxf>
    <dxf>
      <font>
        <b/>
        <i val="0"/>
        <color auto="1"/>
      </font>
      <fill>
        <patternFill>
          <bgColor rgb="FFFDEFE7"/>
        </patternFill>
      </fill>
    </dxf>
    <dxf>
      <font>
        <b/>
        <i val="0"/>
        <color auto="1"/>
      </font>
      <fill>
        <patternFill>
          <bgColor rgb="FFFDEFE7"/>
        </patternFill>
      </fill>
    </dxf>
    <dxf>
      <font>
        <b/>
        <i val="0"/>
        <color auto="1"/>
      </font>
      <fill>
        <patternFill>
          <bgColor rgb="FFFDEFE7"/>
        </patternFill>
      </fill>
    </dxf>
    <dxf>
      <font>
        <b/>
        <i val="0"/>
        <color auto="1"/>
      </font>
      <fill>
        <patternFill>
          <bgColor rgb="FFFDEFE7"/>
        </patternFill>
      </fill>
    </dxf>
    <dxf>
      <border>
        <left style="thin">
          <color auto="1"/>
        </left>
        <right style="thin">
          <color auto="1"/>
        </right>
        <top style="thin">
          <color auto="1"/>
        </top>
        <bottom style="thin">
          <color auto="1"/>
        </bottom>
        <vertical/>
        <horizontal/>
      </border>
    </dxf>
    <dxf>
      <font>
        <b/>
        <i val="0"/>
      </font>
      <fill>
        <patternFill>
          <bgColor theme="5" tint="0.79998168889431442"/>
        </patternFill>
      </fill>
    </dxf>
    <dxf>
      <border>
        <left style="thin">
          <color auto="1"/>
        </left>
        <right style="thin">
          <color auto="1"/>
        </right>
        <top style="thin">
          <color auto="1"/>
        </top>
        <bottom style="thin">
          <color auto="1"/>
        </bottom>
        <vertical/>
        <horizontal/>
      </border>
    </dxf>
    <dxf>
      <font>
        <b/>
        <i val="0"/>
        <color auto="1"/>
      </font>
      <fill>
        <patternFill>
          <bgColor rgb="FFFDEFE7"/>
        </patternFill>
      </fill>
    </dxf>
    <dxf>
      <font>
        <b/>
        <i val="0"/>
        <color rgb="FF0070C0"/>
      </font>
      <fill>
        <patternFill>
          <bgColor rgb="FFEFF6FB"/>
        </patternFill>
      </fill>
      <border>
        <left style="thin">
          <color auto="1"/>
        </left>
        <right style="thin">
          <color auto="1"/>
        </right>
        <top style="thin">
          <color auto="1"/>
        </top>
        <bottom style="thin">
          <color auto="1"/>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ont>
        <b/>
        <i val="0"/>
        <color theme="0"/>
      </font>
      <fill>
        <patternFill>
          <bgColor rgb="FF0070C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FF00"/>
        </patternFill>
      </fill>
    </dxf>
    <dxf>
      <font>
        <color rgb="FFC00000"/>
      </font>
      <fill>
        <patternFill>
          <bgColor rgb="FFFFFF00"/>
        </patternFill>
      </fill>
    </dxf>
    <dxf>
      <fill>
        <patternFill>
          <bgColor rgb="FFFFFF00"/>
        </patternFill>
      </fill>
    </dxf>
    <dxf>
      <fill>
        <patternFill>
          <bgColor rgb="FFEFF6FB"/>
        </patternFill>
      </fill>
      <border>
        <left style="thin">
          <color auto="1"/>
        </left>
        <right style="thin">
          <color auto="1"/>
        </right>
        <top style="thin">
          <color auto="1"/>
        </top>
        <bottom style="thin">
          <color auto="1"/>
        </bottom>
        <vertical/>
        <horizontal/>
      </border>
    </dxf>
    <dxf>
      <font>
        <b/>
        <i val="0"/>
        <color rgb="FFC00000"/>
      </font>
      <fill>
        <patternFill>
          <bgColor rgb="FFFFFF00"/>
        </patternFill>
      </fill>
    </dxf>
    <dxf>
      <font>
        <b/>
        <i val="0"/>
        <color theme="0"/>
      </font>
      <fill>
        <patternFill>
          <bgColor rgb="FF266196"/>
        </patternFill>
      </fill>
    </dxf>
    <dxf>
      <font>
        <b/>
        <i val="0"/>
        <color theme="0"/>
      </font>
      <fill>
        <patternFill>
          <bgColor rgb="FF266196"/>
        </patternFill>
      </fill>
    </dxf>
    <dxf>
      <font>
        <b/>
        <i val="0"/>
        <color rgb="FFC00000"/>
      </font>
      <fill>
        <patternFill>
          <bgColor rgb="FFFFFF00"/>
        </patternFill>
      </fill>
    </dxf>
    <dxf>
      <font>
        <b/>
        <i val="0"/>
        <color theme="0"/>
      </font>
      <fill>
        <patternFill>
          <bgColor rgb="FF266196"/>
        </patternFill>
      </fill>
    </dxf>
    <dxf>
      <font>
        <b/>
        <i val="0"/>
        <color rgb="FFC00000"/>
      </font>
      <fill>
        <patternFill>
          <bgColor rgb="FFFFFF00"/>
        </patternFill>
      </fill>
    </dxf>
    <dxf>
      <font>
        <b/>
        <i val="0"/>
        <color rgb="FFC00000"/>
      </font>
      <fill>
        <patternFill>
          <bgColor rgb="FFFFFF00"/>
        </patternFill>
      </fill>
    </dxf>
    <dxf>
      <fill>
        <patternFill>
          <bgColor rgb="FFD6F7FA"/>
        </patternFill>
      </fill>
    </dxf>
    <dxf>
      <font>
        <b/>
        <i val="0"/>
        <color theme="0"/>
      </font>
      <fill>
        <patternFill>
          <bgColor rgb="FF266196"/>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border>
        <left/>
        <right/>
        <top/>
        <bottom/>
      </border>
    </dxf>
    <dxf>
      <font>
        <color rgb="FFC00000"/>
      </font>
      <fill>
        <patternFill>
          <bgColor rgb="FFFFFF00"/>
        </patternFill>
      </fill>
    </dxf>
    <dxf>
      <fill>
        <patternFill>
          <bgColor theme="0"/>
        </patternFill>
      </fill>
      <border>
        <left/>
        <right/>
        <top/>
        <bottom/>
        <vertical/>
        <horizontal/>
      </border>
    </dxf>
    <dxf>
      <font>
        <b/>
        <i val="0"/>
        <color theme="5" tint="-0.24994659260841701"/>
      </font>
      <fill>
        <patternFill>
          <bgColor rgb="FFF2F2F2"/>
        </patternFill>
      </fill>
      <border>
        <left style="thin">
          <color auto="1"/>
        </left>
        <right style="thin">
          <color auto="1"/>
        </right>
        <top style="thin">
          <color auto="1"/>
        </top>
        <bottom style="thin">
          <color auto="1"/>
        </bottom>
        <vertical/>
        <horizontal/>
      </border>
    </dxf>
    <dxf>
      <font>
        <b/>
        <i val="0"/>
        <color rgb="FF0070C0"/>
      </font>
      <fill>
        <patternFill>
          <bgColor rgb="FFF2DCDB"/>
        </patternFill>
      </fill>
    </dxf>
    <dxf>
      <font>
        <b/>
        <i val="0"/>
        <color rgb="FF0070C0"/>
      </font>
      <fill>
        <patternFill>
          <bgColor rgb="FFF2DCDB"/>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ont>
        <color rgb="FF0070C0"/>
      </font>
      <fill>
        <patternFill>
          <bgColor theme="0" tint="-4.9989318521683403E-2"/>
        </patternFill>
      </fill>
      <border>
        <left style="thin">
          <color auto="1"/>
        </left>
        <right style="thin">
          <color auto="1"/>
        </right>
        <top style="thin">
          <color auto="1"/>
        </top>
        <bottom style="thin">
          <color auto="1"/>
        </bottom>
      </border>
    </dxf>
    <dxf>
      <fill>
        <patternFill>
          <bgColor theme="0"/>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FF00"/>
        </patternFill>
      </fill>
    </dxf>
    <dxf>
      <fill>
        <patternFill>
          <bgColor rgb="FF266196"/>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9B9B"/>
        </patternFill>
      </fill>
    </dxf>
    <dxf>
      <fill>
        <patternFill>
          <bgColor rgb="FF92D050"/>
        </patternFill>
      </fill>
    </dxf>
    <dxf>
      <font>
        <b/>
        <i val="0"/>
        <color theme="5" tint="-0.24994659260841701"/>
      </font>
      <fill>
        <patternFill>
          <bgColor theme="0" tint="-4.9989318521683403E-2"/>
        </patternFill>
      </fill>
      <border>
        <left style="thin">
          <color auto="1"/>
        </left>
        <right style="thin">
          <color auto="1"/>
        </right>
        <top style="thin">
          <color auto="1"/>
        </top>
        <bottom style="thin">
          <color auto="1"/>
        </bottom>
      </border>
    </dxf>
    <dxf>
      <fill>
        <patternFill>
          <bgColor rgb="FFEFE5F7"/>
        </patternFill>
      </fill>
    </dxf>
    <dxf>
      <fill>
        <patternFill>
          <bgColor rgb="FFEDFBFD"/>
        </patternFill>
      </fill>
      <border>
        <left style="thin">
          <color auto="1"/>
        </left>
        <right style="thin">
          <color auto="1"/>
        </right>
        <top style="thin">
          <color auto="1"/>
        </top>
        <bottom style="thin">
          <color auto="1"/>
        </bottom>
      </border>
    </dxf>
    <dxf>
      <font>
        <color rgb="FFC00000"/>
      </font>
      <fill>
        <patternFill>
          <bgColor rgb="FFFFFF00"/>
        </patternFill>
      </fill>
    </dxf>
    <dxf>
      <fill>
        <patternFill>
          <bgColor rgb="FFFFFF0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b/>
        <i val="0"/>
        <color theme="0"/>
      </font>
      <fill>
        <patternFill>
          <bgColor rgb="FF0070C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FFC7CE"/>
        </patternFill>
      </fill>
    </dxf>
    <dxf>
      <fill>
        <patternFill>
          <bgColor rgb="FF92D050"/>
        </patternFill>
      </fill>
    </dxf>
    <dxf>
      <fill>
        <patternFill>
          <bgColor rgb="FFFFFF00"/>
        </patternFill>
      </fill>
    </dxf>
    <dxf>
      <font>
        <color rgb="FFC0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0070C0"/>
        </patternFill>
      </fill>
    </dxf>
    <dxf>
      <font>
        <b/>
        <i val="0"/>
        <color theme="0"/>
      </font>
      <fill>
        <patternFill>
          <bgColor rgb="FF0070C0"/>
        </patternFill>
      </fill>
    </dxf>
    <dxf>
      <font>
        <b/>
        <i val="0"/>
        <color theme="0"/>
      </font>
      <fill>
        <patternFill>
          <bgColor rgb="FF0070C0"/>
        </patternFill>
      </fill>
    </dxf>
    <dxf>
      <font>
        <color rgb="FFC00000"/>
      </font>
      <fill>
        <patternFill>
          <bgColor rgb="FFFFFF00"/>
        </patternFill>
      </fill>
    </dxf>
    <dxf>
      <font>
        <color rgb="FFC00000"/>
      </font>
      <fill>
        <patternFill>
          <bgColor rgb="FFFFFF00"/>
        </patternFill>
      </fill>
    </dxf>
    <dxf>
      <fill>
        <patternFill>
          <bgColor theme="7" tint="0.59996337778862885"/>
        </patternFill>
      </fill>
    </dxf>
    <dxf>
      <fill>
        <patternFill>
          <bgColor theme="7" tint="0.59996337778862885"/>
        </patternFill>
      </fill>
      <border>
        <left/>
        <right/>
        <top/>
        <bottom/>
        <vertical/>
        <horizontal/>
      </border>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797"/>
        </patternFill>
      </fill>
    </dxf>
    <dxf>
      <fill>
        <patternFill>
          <bgColor rgb="FF92D05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9B9B"/>
        </patternFill>
      </fill>
    </dxf>
    <dxf>
      <fill>
        <patternFill>
          <bgColor rgb="FF92D050"/>
        </patternFill>
      </fill>
    </dxf>
    <dxf>
      <fill>
        <patternFill>
          <bgColor theme="9"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92D050"/>
        </patternFill>
      </fill>
    </dxf>
    <dxf>
      <fill>
        <patternFill>
          <bgColor rgb="FFFF9B9B"/>
        </patternFill>
      </fill>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0070C0"/>
      </font>
      <fill>
        <patternFill>
          <bgColor theme="5" tint="0.79998168889431442"/>
        </patternFill>
      </fill>
      <border>
        <left/>
        <right/>
        <top/>
        <bottom/>
      </border>
    </dxf>
    <dxf>
      <fill>
        <patternFill>
          <bgColor theme="9"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C00000"/>
      </font>
      <fill>
        <patternFill>
          <bgColor rgb="FFFFFF00"/>
        </patternFill>
      </fill>
    </dxf>
    <dxf>
      <font>
        <color rgb="FFC00000"/>
      </font>
      <fill>
        <patternFill>
          <bgColor rgb="FFFFFF00"/>
        </patternFill>
      </fill>
    </dxf>
    <dxf>
      <font>
        <color rgb="FFFF0000"/>
      </font>
      <fill>
        <patternFill>
          <bgColor rgb="FFFFFF00"/>
        </patternFill>
      </fill>
    </dxf>
    <dxf>
      <fill>
        <patternFill>
          <bgColor rgb="FFFF9B9B"/>
        </patternFill>
      </fill>
    </dxf>
    <dxf>
      <fill>
        <patternFill>
          <bgColor rgb="FF92D050"/>
        </patternFill>
      </fill>
    </dxf>
    <dxf>
      <fill>
        <patternFill>
          <bgColor rgb="FFFFC7CE"/>
        </patternFill>
      </fill>
    </dxf>
    <dxf>
      <fill>
        <patternFill>
          <bgColor rgb="FF92D050"/>
        </patternFill>
      </fill>
    </dxf>
    <dxf>
      <fill>
        <patternFill>
          <bgColor theme="4" tint="0.79998168889431442"/>
        </patternFill>
      </fill>
    </dxf>
    <dxf>
      <font>
        <b/>
        <i val="0"/>
        <color theme="8" tint="-0.24994659260841701"/>
      </font>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92D050"/>
        </patternFill>
      </fill>
    </dxf>
    <dxf>
      <fill>
        <patternFill>
          <bgColor rgb="FFFF9B9B"/>
        </patternFill>
      </fill>
    </dxf>
    <dxf>
      <fill>
        <patternFill>
          <bgColor rgb="FFFF9B9B"/>
        </patternFill>
      </fill>
    </dxf>
    <dxf>
      <fill>
        <patternFill>
          <bgColor rgb="FF92D05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ont>
        <color rgb="FFFF0000"/>
      </font>
      <fill>
        <patternFill>
          <bgColor rgb="FFFFFF0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92D050"/>
        </patternFill>
      </fill>
    </dxf>
    <dxf>
      <fill>
        <patternFill>
          <bgColor rgb="FFFF9B9B"/>
        </patternFill>
      </fill>
    </dxf>
    <dxf>
      <fill>
        <patternFill>
          <bgColor rgb="FF92D050"/>
        </patternFill>
      </fill>
    </dxf>
    <dxf>
      <border>
        <left style="thin">
          <color auto="1"/>
        </left>
        <right style="thin">
          <color auto="1"/>
        </right>
        <top style="thin">
          <color auto="1"/>
        </top>
        <bottom style="thin">
          <color auto="1"/>
        </bottom>
        <vertical/>
        <horizontal/>
      </border>
    </dxf>
    <dxf>
      <font>
        <b/>
        <i val="0"/>
      </font>
      <fill>
        <patternFill>
          <bgColor theme="5" tint="0.79998168889431442"/>
        </patternFill>
      </fill>
    </dxf>
    <dxf>
      <font>
        <color rgb="FFC00000"/>
      </font>
      <fill>
        <patternFill>
          <bgColor rgb="FFFFFF00"/>
        </patternFill>
      </fill>
      <border>
        <left/>
        <right/>
        <top/>
        <bottom/>
      </border>
    </dxf>
    <dxf>
      <fill>
        <patternFill>
          <bgColor rgb="FFE8D9F3"/>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FFC7CE"/>
        </patternFill>
      </fill>
    </dxf>
    <dxf>
      <fill>
        <patternFill>
          <bgColor rgb="FF92D050"/>
        </patternFill>
      </fill>
    </dxf>
  </dxfs>
  <tableStyles count="0" defaultTableStyle="TableStyleMedium2" defaultPivotStyle="PivotStyleLight16"/>
  <colors>
    <mruColors>
      <color rgb="FFEFF6FB"/>
      <color rgb="FFFCFEB4"/>
      <color rgb="FFC3CBE7"/>
      <color rgb="FF1E284E"/>
      <color rgb="FF99A6D7"/>
      <color rgb="FFECF9FB"/>
      <color rgb="FFFFF0C5"/>
      <color rgb="FFF2DCDB"/>
      <color rgb="FFFDEFE7"/>
      <color rgb="FF2661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409" lockText="1" noThreeD="1"/>
</file>

<file path=xl/ctrlProps/ctrlProp2.xml><?xml version="1.0" encoding="utf-8"?>
<formControlPr xmlns="http://schemas.microsoft.com/office/spreadsheetml/2009/9/main" objectType="CheckBox" fmlaLink="G411" lockText="1" noThreeD="1"/>
</file>

<file path=xl/ctrlProps/ctrlProp3.xml><?xml version="1.0" encoding="utf-8"?>
<formControlPr xmlns="http://schemas.microsoft.com/office/spreadsheetml/2009/9/main" objectType="CheckBox" fmlaLink="G413" lockText="1" noThreeD="1"/>
</file>

<file path=xl/ctrlProps/ctrlProp4.xml><?xml version="1.0" encoding="utf-8"?>
<formControlPr xmlns="http://schemas.microsoft.com/office/spreadsheetml/2009/9/main" objectType="CheckBox" fmlaLink="G415" lockText="1" noThreeD="1"/>
</file>

<file path=xl/ctrlProps/ctrlProp5.xml><?xml version="1.0" encoding="utf-8"?>
<formControlPr xmlns="http://schemas.microsoft.com/office/spreadsheetml/2009/9/main" objectType="CheckBox" fmlaLink="G417" lockText="1" noThreeD="1"/>
</file>

<file path=xl/ctrlProps/ctrlProp6.xml><?xml version="1.0" encoding="utf-8"?>
<formControlPr xmlns="http://schemas.microsoft.com/office/spreadsheetml/2009/9/main" objectType="CheckBox" fmlaLink="G41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228600</xdr:colOff>
      <xdr:row>0</xdr:row>
      <xdr:rowOff>123824</xdr:rowOff>
    </xdr:from>
    <xdr:to>
      <xdr:col>13</xdr:col>
      <xdr:colOff>410822</xdr:colOff>
      <xdr:row>2</xdr:row>
      <xdr:rowOff>9524</xdr:rowOff>
    </xdr:to>
    <xdr:pic>
      <xdr:nvPicPr>
        <xdr:cNvPr id="4" name="Picture 9" descr="CAAHEP logo">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7886700" y="123824"/>
          <a:ext cx="7918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152401</xdr:colOff>
      <xdr:row>0</xdr:row>
      <xdr:rowOff>95250</xdr:rowOff>
    </xdr:from>
    <xdr:to>
      <xdr:col>2</xdr:col>
      <xdr:colOff>1222807</xdr:colOff>
      <xdr:row>1</xdr:row>
      <xdr:rowOff>790575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1" y="95250"/>
          <a:ext cx="1070406" cy="8858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752475</xdr:colOff>
          <xdr:row>408</xdr:row>
          <xdr:rowOff>0</xdr:rowOff>
        </xdr:from>
        <xdr:to>
          <xdr:col>6</xdr:col>
          <xdr:colOff>219075</xdr:colOff>
          <xdr:row>408</xdr:row>
          <xdr:rowOff>190500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409</xdr:row>
          <xdr:rowOff>123825</xdr:rowOff>
        </xdr:from>
        <xdr:to>
          <xdr:col>6</xdr:col>
          <xdr:colOff>238125</xdr:colOff>
          <xdr:row>410</xdr:row>
          <xdr:rowOff>209550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412</xdr:row>
          <xdr:rowOff>19050</xdr:rowOff>
        </xdr:from>
        <xdr:to>
          <xdr:col>6</xdr:col>
          <xdr:colOff>209550</xdr:colOff>
          <xdr:row>412</xdr:row>
          <xdr:rowOff>219075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414</xdr:row>
          <xdr:rowOff>0</xdr:rowOff>
        </xdr:from>
        <xdr:to>
          <xdr:col>6</xdr:col>
          <xdr:colOff>209550</xdr:colOff>
          <xdr:row>414</xdr:row>
          <xdr:rowOff>190500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416</xdr:row>
          <xdr:rowOff>0</xdr:rowOff>
        </xdr:from>
        <xdr:to>
          <xdr:col>6</xdr:col>
          <xdr:colOff>209550</xdr:colOff>
          <xdr:row>416</xdr:row>
          <xdr:rowOff>209550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418</xdr:row>
          <xdr:rowOff>0</xdr:rowOff>
        </xdr:from>
        <xdr:to>
          <xdr:col>6</xdr:col>
          <xdr:colOff>219075</xdr:colOff>
          <xdr:row>418</xdr:row>
          <xdr:rowOff>257175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228600</xdr:colOff>
      <xdr:row>0</xdr:row>
      <xdr:rowOff>123824</xdr:rowOff>
    </xdr:from>
    <xdr:to>
      <xdr:col>13</xdr:col>
      <xdr:colOff>410822</xdr:colOff>
      <xdr:row>2</xdr:row>
      <xdr:rowOff>9524</xdr:rowOff>
    </xdr:to>
    <xdr:pic>
      <xdr:nvPicPr>
        <xdr:cNvPr id="2" name="Picture 9" descr="CAAHEP logo">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9915525" y="123824"/>
          <a:ext cx="944222"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0</xdr:row>
      <xdr:rowOff>114300</xdr:rowOff>
    </xdr:from>
    <xdr:to>
      <xdr:col>2</xdr:col>
      <xdr:colOff>1222806</xdr:colOff>
      <xdr:row>2</xdr:row>
      <xdr:rowOff>9525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 y="114300"/>
          <a:ext cx="1070406" cy="88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aemsp.org/resource-library" TargetMode="External"/><Relationship Id="rId13" Type="http://schemas.openxmlformats.org/officeDocument/2006/relationships/ctrlProp" Target="../ctrlProps/ctrlProp1.xml"/><Relationship Id="rId18" Type="http://schemas.openxmlformats.org/officeDocument/2006/relationships/ctrlProp" Target="../ctrlProps/ctrlProp6.xml"/><Relationship Id="rId3" Type="http://schemas.openxmlformats.org/officeDocument/2006/relationships/hyperlink" Target="http://coaemsp.org/Policy_Procedures.htm" TargetMode="External"/><Relationship Id="rId7" Type="http://schemas.openxmlformats.org/officeDocument/2006/relationships/hyperlink" Target="https://coaemsp.org/resource-library"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 Type="http://schemas.openxmlformats.org/officeDocument/2006/relationships/hyperlink" Target="http://coaemsp.org/Policy_Procedures.htm" TargetMode="External"/><Relationship Id="rId16" Type="http://schemas.openxmlformats.org/officeDocument/2006/relationships/ctrlProp" Target="../ctrlProps/ctrlProp4.xml"/><Relationship Id="rId1" Type="http://schemas.openxmlformats.org/officeDocument/2006/relationships/printerSettings" Target="../printerSettings/printerSettings1.bin"/><Relationship Id="rId6" Type="http://schemas.openxmlformats.org/officeDocument/2006/relationships/hyperlink" Target="https://coaemsp.org/resource-library" TargetMode="External"/><Relationship Id="rId11" Type="http://schemas.openxmlformats.org/officeDocument/2006/relationships/drawing" Target="../drawings/drawing1.xml"/><Relationship Id="rId5" Type="http://schemas.openxmlformats.org/officeDocument/2006/relationships/hyperlink" Target="mailto:annualreports@coaemsp.org" TargetMode="External"/><Relationship Id="rId15" Type="http://schemas.openxmlformats.org/officeDocument/2006/relationships/ctrlProp" Target="../ctrlProps/ctrlProp3.xml"/><Relationship Id="rId10" Type="http://schemas.openxmlformats.org/officeDocument/2006/relationships/printerSettings" Target="../printerSettings/printerSettings2.bin"/><Relationship Id="rId19" Type="http://schemas.openxmlformats.org/officeDocument/2006/relationships/comments" Target="../comments1.xml"/><Relationship Id="rId4" Type="http://schemas.openxmlformats.org/officeDocument/2006/relationships/hyperlink" Target="http://coaemsp.org/Evaluations.htm" TargetMode="External"/><Relationship Id="rId9" Type="http://schemas.openxmlformats.org/officeDocument/2006/relationships/hyperlink" Target="http://coaemsp.org/Evaluations.htm" TargetMode="External"/><Relationship Id="rId1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nnualreports@coaemsp.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249977111117893"/>
  </sheetPr>
  <dimension ref="A1:EV440"/>
  <sheetViews>
    <sheetView showGridLines="0" tabSelected="1" zoomScaleNormal="100" workbookViewId="0">
      <selection activeCell="G332" sqref="G332"/>
    </sheetView>
  </sheetViews>
  <sheetFormatPr defaultRowHeight="15" x14ac:dyDescent="0.25"/>
  <cols>
    <col min="1" max="1" width="4.7109375" style="13" customWidth="1"/>
    <col min="2" max="2" width="4.42578125" style="10" customWidth="1"/>
    <col min="3" max="3" width="21.85546875" style="10" customWidth="1"/>
    <col min="4" max="4" width="20.85546875" customWidth="1"/>
    <col min="5" max="6" width="11.42578125" style="10" customWidth="1"/>
    <col min="7" max="7" width="13.42578125" customWidth="1"/>
    <col min="8" max="13" width="11.42578125" customWidth="1"/>
    <col min="14" max="14" width="14" customWidth="1"/>
    <col min="16" max="16" width="9.140625" style="3" customWidth="1"/>
    <col min="17" max="19" width="9.140625" customWidth="1"/>
    <col min="20" max="20" width="10.5703125" customWidth="1"/>
    <col min="21" max="21" width="11" customWidth="1"/>
    <col min="22" max="22" width="11.140625" customWidth="1"/>
    <col min="23" max="27" width="10.5703125" customWidth="1"/>
    <col min="28" max="28" width="11.7109375" customWidth="1"/>
  </cols>
  <sheetData>
    <row r="1" spans="1:32" s="15" customFormat="1" x14ac:dyDescent="0.25">
      <c r="A1" s="203"/>
      <c r="P1" s="3"/>
    </row>
    <row r="2" spans="1:32" s="15" customFormat="1" ht="63" customHeight="1" x14ac:dyDescent="0.25">
      <c r="A2" s="13"/>
      <c r="D2" s="692" t="s">
        <v>2</v>
      </c>
      <c r="E2" s="692"/>
      <c r="F2" s="692"/>
      <c r="G2" s="692"/>
      <c r="H2" s="692"/>
      <c r="I2" s="692"/>
      <c r="J2" s="692"/>
      <c r="K2" s="692"/>
      <c r="L2" s="692"/>
      <c r="P2" s="3"/>
      <c r="R2" s="3"/>
      <c r="S2" s="3"/>
      <c r="T2" s="3"/>
      <c r="U2" s="3"/>
      <c r="V2" s="3"/>
      <c r="W2" s="3"/>
      <c r="X2" s="3"/>
      <c r="Y2" s="3"/>
      <c r="Z2" s="3"/>
      <c r="AA2" s="3"/>
      <c r="AB2" s="3"/>
      <c r="AC2" s="3"/>
      <c r="AD2" s="3"/>
      <c r="AE2" s="13"/>
      <c r="AF2" s="13"/>
    </row>
    <row r="3" spans="1:32" s="15" customFormat="1" ht="10.5" customHeight="1" x14ac:dyDescent="0.25">
      <c r="A3" s="13"/>
      <c r="D3" s="1"/>
      <c r="P3" s="3"/>
      <c r="R3" s="3"/>
      <c r="S3" s="3"/>
      <c r="T3" s="3"/>
      <c r="U3" s="3"/>
      <c r="V3" s="3"/>
      <c r="W3" s="3"/>
      <c r="X3" s="3"/>
      <c r="Y3" s="3"/>
      <c r="Z3" s="3"/>
      <c r="AA3" s="3"/>
      <c r="AB3" s="3"/>
      <c r="AC3" s="3"/>
      <c r="AD3" s="3"/>
      <c r="AE3" s="13"/>
      <c r="AF3" s="13"/>
    </row>
    <row r="4" spans="1:32" s="15" customFormat="1" ht="39" customHeight="1" x14ac:dyDescent="0.25">
      <c r="A4" s="13"/>
      <c r="B4" s="553"/>
      <c r="C4" s="553"/>
      <c r="D4" s="553">
        <v>2022</v>
      </c>
      <c r="E4" s="553" t="s">
        <v>81</v>
      </c>
      <c r="F4" s="553"/>
      <c r="G4" s="553"/>
      <c r="H4" s="553"/>
      <c r="I4" s="553"/>
      <c r="J4" s="553"/>
      <c r="K4" s="553"/>
      <c r="L4" s="553"/>
      <c r="M4" s="553"/>
      <c r="N4" s="553"/>
      <c r="P4" s="3"/>
      <c r="Q4" s="13"/>
      <c r="R4" s="3"/>
      <c r="S4" s="3"/>
      <c r="T4" s="3"/>
      <c r="U4" s="3"/>
      <c r="V4" s="3"/>
      <c r="W4" s="3"/>
      <c r="X4" s="3"/>
      <c r="Y4" s="3"/>
      <c r="Z4" s="3"/>
      <c r="AA4" s="3"/>
      <c r="AB4" s="3"/>
      <c r="AC4" s="3"/>
      <c r="AD4" s="3"/>
      <c r="AE4" s="13"/>
      <c r="AF4" s="13"/>
    </row>
    <row r="5" spans="1:32" x14ac:dyDescent="0.25">
      <c r="A5" s="699">
        <v>1</v>
      </c>
      <c r="B5" s="699"/>
      <c r="C5" s="699"/>
      <c r="D5" s="699"/>
      <c r="E5" s="699"/>
      <c r="F5" s="699"/>
    </row>
    <row r="6" spans="1:32" s="15" customFormat="1" ht="12.75" customHeight="1" x14ac:dyDescent="0.25">
      <c r="A6" s="13"/>
      <c r="P6" s="3"/>
      <c r="Q6" s="13"/>
      <c r="R6" s="3"/>
      <c r="S6" s="3"/>
      <c r="T6" s="3"/>
      <c r="U6" s="3"/>
      <c r="V6" s="3"/>
      <c r="W6" s="3"/>
      <c r="X6" s="3"/>
      <c r="Y6" s="3"/>
      <c r="Z6" s="3"/>
      <c r="AA6" s="3"/>
      <c r="AB6" s="3"/>
      <c r="AC6" s="3"/>
      <c r="AD6" s="3"/>
      <c r="AE6" s="13"/>
      <c r="AF6" s="13"/>
    </row>
    <row r="7" spans="1:32" ht="48" customHeight="1" x14ac:dyDescent="0.25">
      <c r="B7" s="693" t="str">
        <f>"CoAEMSP Letter of Review (LoR) / CAAHEP Accredited (Initial and Continuing) programs must complete the"&amp;" CoAEMSP Annual Report for Paramedic level students/graduates ONLY and submit THIS Excel annual report template which represents all cohorts that have graduated in " &amp;D4&amp; ".  No PDF or paper copy versions of this report will be accepted."</f>
        <v>CoAEMSP Letter of Review (LoR) / CAAHEP Accredited (Initial and Continuing) programs must complete the CoAEMSP Annual Report for Paramedic level students/graduates ONLY and submit THIS Excel annual report template which represents all cohorts that have graduated in 2022.  No PDF or paper copy versions of this report will be accepted.</v>
      </c>
      <c r="C7" s="693"/>
      <c r="D7" s="693"/>
      <c r="E7" s="693"/>
      <c r="F7" s="693"/>
      <c r="G7" s="693"/>
      <c r="H7" s="693"/>
      <c r="I7" s="693"/>
      <c r="J7" s="693"/>
      <c r="K7" s="693"/>
      <c r="L7" s="693"/>
      <c r="M7" s="693"/>
      <c r="N7" s="693"/>
      <c r="O7" s="159"/>
    </row>
    <row r="8" spans="1:32" ht="39.75" customHeight="1" x14ac:dyDescent="0.25">
      <c r="B8" s="700" t="str">
        <f>"~ Remember ~ 
The filing deadline is May 15, " &amp;D4+2</f>
        <v>~ Remember ~ 
The filing deadline is May 15, 2024</v>
      </c>
      <c r="C8" s="701"/>
      <c r="D8" s="701"/>
      <c r="E8" s="701"/>
      <c r="F8" s="701"/>
      <c r="G8" s="701"/>
      <c r="H8" s="701"/>
      <c r="I8" s="701"/>
      <c r="J8" s="701"/>
      <c r="K8" s="701"/>
      <c r="L8" s="701"/>
      <c r="M8" s="701"/>
      <c r="N8" s="701"/>
    </row>
    <row r="9" spans="1:32" s="79" customFormat="1" ht="5.25" customHeight="1" x14ac:dyDescent="0.25">
      <c r="A9" s="13"/>
      <c r="P9" s="3"/>
    </row>
    <row r="10" spans="1:32" ht="44.25" customHeight="1" x14ac:dyDescent="0.25">
      <c r="B10" s="706" t="s">
        <v>3</v>
      </c>
      <c r="C10" s="706"/>
      <c r="D10" s="706"/>
      <c r="E10" s="706"/>
      <c r="F10" s="706"/>
      <c r="G10" s="706"/>
      <c r="H10" s="706"/>
      <c r="I10" s="706"/>
      <c r="J10" s="706"/>
      <c r="K10" s="706"/>
      <c r="L10" s="707" t="s">
        <v>63</v>
      </c>
      <c r="M10" s="707"/>
      <c r="N10" s="707"/>
    </row>
    <row r="11" spans="1:32" ht="14.45" customHeight="1" x14ac:dyDescent="0.25">
      <c r="D11" s="7"/>
      <c r="E11" s="7"/>
      <c r="G11" s="7"/>
      <c r="H11" s="7"/>
      <c r="I11" s="7"/>
      <c r="J11" s="7"/>
      <c r="K11" s="7"/>
      <c r="R11" s="200"/>
      <c r="S11" s="13"/>
    </row>
    <row r="12" spans="1:32" s="6" customFormat="1" ht="15" customHeight="1" x14ac:dyDescent="0.25">
      <c r="A12" s="13"/>
      <c r="B12" s="96"/>
      <c r="C12" s="97"/>
      <c r="D12" s="8"/>
      <c r="E12" s="704" t="s">
        <v>1</v>
      </c>
      <c r="F12" s="705"/>
      <c r="G12" s="705"/>
      <c r="H12" s="705"/>
      <c r="I12" s="705"/>
      <c r="J12" s="705"/>
      <c r="K12" s="705"/>
      <c r="L12" s="705"/>
      <c r="M12" s="705"/>
      <c r="N12" s="97"/>
      <c r="O12" s="272"/>
      <c r="P12" s="3"/>
      <c r="R12" s="200"/>
      <c r="S12" s="13"/>
      <c r="T12" s="200"/>
    </row>
    <row r="13" spans="1:32" x14ac:dyDescent="0.25">
      <c r="R13" s="200"/>
      <c r="S13" s="13"/>
      <c r="T13" s="200"/>
    </row>
    <row r="14" spans="1:32" s="96" customFormat="1" ht="12.75" customHeight="1" x14ac:dyDescent="0.25">
      <c r="A14" s="13"/>
      <c r="P14" s="3"/>
      <c r="Q14" s="3"/>
      <c r="R14" s="3"/>
      <c r="S14" s="13"/>
      <c r="T14" s="3"/>
      <c r="U14" s="3"/>
      <c r="V14" s="3"/>
      <c r="W14" s="3"/>
      <c r="X14" s="3"/>
      <c r="Y14" s="3"/>
      <c r="Z14" s="3"/>
      <c r="AA14" s="3"/>
      <c r="AB14" s="3"/>
      <c r="AC14" s="3"/>
      <c r="AD14" s="3"/>
      <c r="AE14" s="13"/>
      <c r="AF14" s="13"/>
    </row>
    <row r="15" spans="1:32" s="15" customFormat="1" ht="12.75" customHeight="1" x14ac:dyDescent="0.25">
      <c r="A15" s="13"/>
      <c r="P15" s="3"/>
      <c r="Q15" s="3"/>
      <c r="R15" s="3" t="s">
        <v>55</v>
      </c>
      <c r="S15" s="3">
        <f>IF(D4&lt;&gt;"",14,14)</f>
        <v>14</v>
      </c>
      <c r="T15" s="3"/>
      <c r="U15" s="3"/>
      <c r="V15" s="3"/>
      <c r="W15" s="3"/>
      <c r="X15" s="3"/>
      <c r="Y15" s="3"/>
      <c r="Z15" s="3"/>
      <c r="AA15" s="3"/>
      <c r="AB15" s="3"/>
      <c r="AC15" s="3"/>
      <c r="AD15" s="3"/>
      <c r="AE15" s="13"/>
      <c r="AF15" s="13"/>
    </row>
    <row r="16" spans="1:32" ht="25.5" customHeight="1" x14ac:dyDescent="0.25">
      <c r="B16" s="2"/>
      <c r="C16" s="17" t="s">
        <v>4</v>
      </c>
      <c r="D16" s="124"/>
      <c r="E16" s="14" t="s">
        <v>7</v>
      </c>
      <c r="F16"/>
      <c r="O16" s="214" t="str">
        <f>IF(P16=1, "&lt;===", "")</f>
        <v/>
      </c>
      <c r="P16" s="364" t="str">
        <f>IF(AND(D16="", D432&lt;&gt;""), 1, "")</f>
        <v/>
      </c>
      <c r="Q16" s="3"/>
      <c r="R16" s="3" t="s">
        <v>49</v>
      </c>
      <c r="S16" s="3">
        <f>IF(AND(N73&lt;70%,N73&lt;&gt;0%),27,14)</f>
        <v>14</v>
      </c>
      <c r="T16" s="3"/>
    </row>
    <row r="17" spans="1:22" x14ac:dyDescent="0.25">
      <c r="B17"/>
      <c r="C17" s="123"/>
      <c r="E17"/>
      <c r="F17"/>
      <c r="Q17" s="3"/>
      <c r="R17" s="3" t="s">
        <v>50</v>
      </c>
      <c r="S17" s="3">
        <f>IF(AND(N96&lt;70%,N96&lt;&gt;0%),27,14)</f>
        <v>14</v>
      </c>
      <c r="T17" s="3"/>
    </row>
    <row r="18" spans="1:22" ht="25.5" customHeight="1" x14ac:dyDescent="0.25">
      <c r="B18" s="2"/>
      <c r="C18" s="17" t="s">
        <v>148</v>
      </c>
      <c r="D18" s="694"/>
      <c r="E18" s="695"/>
      <c r="F18" s="695"/>
      <c r="G18" s="695"/>
      <c r="H18" s="695"/>
      <c r="I18" s="695"/>
      <c r="J18" s="695"/>
      <c r="K18" s="695"/>
      <c r="L18" s="695"/>
      <c r="M18" s="696"/>
      <c r="O18" s="214" t="str">
        <f>IF(P18=1, "&lt;===", "")</f>
        <v/>
      </c>
      <c r="P18" s="364" t="str">
        <f>IF(AND(D18="", D432&lt;&gt;""), 1, "")</f>
        <v/>
      </c>
      <c r="Q18" s="420"/>
      <c r="R18" s="3" t="s">
        <v>51</v>
      </c>
      <c r="S18" s="3">
        <f>IF(AND(N118&lt;70%,N118&lt;&gt;0%),27,14)</f>
        <v>14</v>
      </c>
      <c r="T18" s="3"/>
    </row>
    <row r="19" spans="1:22" x14ac:dyDescent="0.25">
      <c r="B19"/>
      <c r="C19" s="123"/>
      <c r="E19"/>
      <c r="F19"/>
      <c r="Q19" s="3"/>
      <c r="R19" s="3" t="s">
        <v>52</v>
      </c>
      <c r="S19" s="3">
        <f>IF(AND(N156&lt;100%,N156&lt;&gt;0%),32,14)</f>
        <v>14</v>
      </c>
      <c r="T19" s="3"/>
    </row>
    <row r="20" spans="1:22" ht="18.75" customHeight="1" x14ac:dyDescent="0.25">
      <c r="B20" s="2"/>
      <c r="C20" s="18" t="s">
        <v>5</v>
      </c>
      <c r="D20" s="694"/>
      <c r="E20" s="696"/>
      <c r="F20" s="697" t="s">
        <v>6</v>
      </c>
      <c r="G20" s="698"/>
      <c r="H20" s="100"/>
      <c r="O20" s="214" t="str">
        <f>IF(P20=1, "&lt;===", "")</f>
        <v/>
      </c>
      <c r="P20" s="364" t="str">
        <f>IF(OR(AND(D20="", D432&lt;&gt;""), AND(H20="",D432&lt;&gt;"")), 1, "")</f>
        <v/>
      </c>
      <c r="Q20" s="3"/>
      <c r="R20" s="3" t="s">
        <v>53</v>
      </c>
      <c r="S20" s="3">
        <f>IF(AND(N194&lt;100%,N194&lt;&gt;0%),32,14)</f>
        <v>14</v>
      </c>
      <c r="T20" s="3"/>
    </row>
    <row r="21" spans="1:22" x14ac:dyDescent="0.25">
      <c r="C21" s="123"/>
      <c r="Q21" s="3"/>
      <c r="R21" s="3" t="s">
        <v>54</v>
      </c>
      <c r="S21" s="3">
        <v>14</v>
      </c>
      <c r="T21" s="3"/>
    </row>
    <row r="22" spans="1:22" s="79" customFormat="1" x14ac:dyDescent="0.25">
      <c r="A22" s="13"/>
      <c r="C22" s="123"/>
      <c r="P22" s="3"/>
      <c r="Q22" s="3"/>
      <c r="R22" s="3"/>
      <c r="S22" s="3"/>
      <c r="T22" s="3"/>
    </row>
    <row r="23" spans="1:22" s="79" customFormat="1" ht="30.75" customHeight="1" x14ac:dyDescent="0.25">
      <c r="A23" s="13"/>
      <c r="C23" s="17" t="str">
        <f>"    Accreditation Status: 
as of 1/1/" &amp;D4 +2</f>
        <v xml:space="preserve">    Accreditation Status: 
as of 1/1/2024</v>
      </c>
      <c r="D23" s="702" t="s">
        <v>23</v>
      </c>
      <c r="E23" s="702"/>
      <c r="F23" s="702"/>
      <c r="O23" s="214" t="str">
        <f>IF(P23=1, "&lt;===", "")</f>
        <v/>
      </c>
      <c r="P23" s="364" t="str">
        <f>IF(AND(D23="Please Select", D432&lt;&gt;""), 1, "")</f>
        <v/>
      </c>
      <c r="Q23" s="3"/>
      <c r="R23" s="3" t="s">
        <v>56</v>
      </c>
      <c r="S23" s="3">
        <f>IF(G44&lt;&gt;"",14,14)</f>
        <v>14</v>
      </c>
      <c r="T23" s="3"/>
    </row>
    <row r="24" spans="1:22" x14ac:dyDescent="0.25">
      <c r="Q24" s="3"/>
      <c r="R24" s="3" t="s">
        <v>57</v>
      </c>
      <c r="S24" s="3">
        <f>IF(G257&lt;&gt;"",14,14)</f>
        <v>14</v>
      </c>
      <c r="T24" s="3"/>
    </row>
    <row r="25" spans="1:22" s="79" customFormat="1" ht="51.75" customHeight="1" x14ac:dyDescent="0.25">
      <c r="A25" s="13"/>
      <c r="C25" s="712" t="str">
        <f>"Direct website URL (Link) to the 
Paramedic educational program's 
"&amp;D4&amp;" published outcomes:"</f>
        <v>Direct website URL (Link) to the 
Paramedic educational program's 
2022 published outcomes:</v>
      </c>
      <c r="D25" s="712"/>
      <c r="E25" s="708"/>
      <c r="F25" s="709"/>
      <c r="G25" s="709"/>
      <c r="H25" s="709"/>
      <c r="I25" s="709"/>
      <c r="J25" s="709"/>
      <c r="K25" s="709"/>
      <c r="L25" s="709"/>
      <c r="M25" s="709"/>
      <c r="N25" s="709"/>
      <c r="O25" s="220" t="str">
        <f>IF(P25=1, "&lt;===", "")</f>
        <v/>
      </c>
      <c r="P25" s="222" t="str">
        <f>IF(AND(E25="", D432&lt;&gt;""), 1, "")</f>
        <v/>
      </c>
      <c r="Q25" s="13"/>
      <c r="R25" s="3"/>
      <c r="S25" s="3"/>
      <c r="T25" s="3"/>
    </row>
    <row r="26" spans="1:22" s="217" customFormat="1" x14ac:dyDescent="0.25">
      <c r="A26" s="13"/>
      <c r="P26" s="3"/>
    </row>
    <row r="27" spans="1:22" ht="15" customHeight="1" x14ac:dyDescent="0.25">
      <c r="B27" s="710" t="s">
        <v>138</v>
      </c>
      <c r="C27" s="710"/>
      <c r="D27" s="703" t="s">
        <v>61</v>
      </c>
      <c r="E27" s="703"/>
      <c r="F27" s="703"/>
      <c r="G27" s="703"/>
      <c r="H27" s="703"/>
      <c r="I27" s="703"/>
      <c r="J27" s="703"/>
      <c r="K27" s="703"/>
      <c r="L27" s="703"/>
      <c r="M27" s="703"/>
      <c r="N27" s="703"/>
    </row>
    <row r="28" spans="1:22" ht="22.5" customHeight="1" x14ac:dyDescent="0.25">
      <c r="B28" s="710"/>
      <c r="C28" s="710"/>
      <c r="D28" s="703"/>
      <c r="E28" s="703"/>
      <c r="F28" s="703"/>
      <c r="G28" s="703"/>
      <c r="H28" s="703"/>
      <c r="I28" s="703"/>
      <c r="J28" s="703"/>
      <c r="K28" s="703"/>
      <c r="L28" s="703"/>
      <c r="M28" s="703"/>
      <c r="N28" s="703"/>
      <c r="Q28" s="13"/>
    </row>
    <row r="29" spans="1:22" ht="10.5" customHeight="1" x14ac:dyDescent="0.25">
      <c r="B29" s="711"/>
      <c r="C29" s="711"/>
      <c r="D29" s="711"/>
      <c r="E29" s="711"/>
      <c r="F29" s="711"/>
      <c r="G29" s="711"/>
      <c r="H29" s="711"/>
      <c r="I29" s="711"/>
      <c r="J29" s="711"/>
      <c r="K29" s="711"/>
      <c r="L29" s="711"/>
      <c r="M29" s="711"/>
      <c r="N29" s="711"/>
    </row>
    <row r="30" spans="1:22" ht="15" customHeight="1" x14ac:dyDescent="0.25">
      <c r="B30" s="710" t="s">
        <v>62</v>
      </c>
      <c r="C30" s="710"/>
      <c r="D30" s="703" t="s">
        <v>154</v>
      </c>
      <c r="E30" s="703"/>
      <c r="F30" s="703"/>
      <c r="G30" s="703"/>
      <c r="H30" s="703"/>
      <c r="I30" s="703"/>
      <c r="J30" s="703"/>
      <c r="K30" s="703"/>
      <c r="L30" s="703"/>
      <c r="M30" s="703"/>
      <c r="N30" s="703"/>
      <c r="P30" s="788"/>
      <c r="Q30" s="788"/>
      <c r="R30" s="788"/>
      <c r="S30" s="788"/>
      <c r="T30" s="788"/>
      <c r="U30" s="788"/>
      <c r="V30" s="788"/>
    </row>
    <row r="31" spans="1:22" ht="34.5" customHeight="1" x14ac:dyDescent="0.25">
      <c r="B31" s="710"/>
      <c r="C31" s="710"/>
      <c r="D31" s="703"/>
      <c r="E31" s="703"/>
      <c r="F31" s="703"/>
      <c r="G31" s="703"/>
      <c r="H31" s="703"/>
      <c r="I31" s="703"/>
      <c r="J31" s="703"/>
      <c r="K31" s="703"/>
      <c r="L31" s="703"/>
      <c r="M31" s="703"/>
      <c r="N31" s="703"/>
      <c r="O31" s="229"/>
    </row>
    <row r="32" spans="1:22" s="15" customFormat="1" x14ac:dyDescent="0.25">
      <c r="A32" s="13"/>
      <c r="P32" s="3"/>
    </row>
    <row r="33" spans="1:74" s="321" customFormat="1" ht="18.75" customHeight="1" x14ac:dyDescent="0.25">
      <c r="A33" s="13"/>
      <c r="J33" s="322"/>
      <c r="K33" s="322"/>
      <c r="L33" s="322"/>
      <c r="M33" s="322"/>
      <c r="N33" s="322"/>
      <c r="P33" s="3"/>
    </row>
    <row r="34" spans="1:74" s="15" customFormat="1" ht="18" x14ac:dyDescent="0.25">
      <c r="A34" s="205"/>
      <c r="B34" s="560" t="s">
        <v>88</v>
      </c>
      <c r="C34" s="561"/>
      <c r="D34" s="561"/>
      <c r="E34" s="561"/>
      <c r="F34" s="562"/>
      <c r="G34" s="561"/>
      <c r="H34" s="561"/>
      <c r="I34" s="561"/>
      <c r="J34" s="561"/>
      <c r="K34" s="561"/>
      <c r="L34" s="561"/>
      <c r="M34" s="561"/>
      <c r="N34" s="561"/>
      <c r="P34" s="3"/>
      <c r="Q34" s="23"/>
      <c r="R34" s="23"/>
      <c r="S34" s="23"/>
      <c r="T34" s="23"/>
      <c r="U34" s="23"/>
      <c r="V34" s="23"/>
      <c r="W34" s="23"/>
      <c r="X34" s="23"/>
      <c r="Y34" s="23"/>
      <c r="Z34" s="23"/>
    </row>
    <row r="35" spans="1:74" s="16" customFormat="1" ht="21.75" customHeight="1" x14ac:dyDescent="0.25">
      <c r="A35" s="205"/>
      <c r="B35" s="714"/>
      <c r="C35" s="714"/>
      <c r="D35" s="714"/>
      <c r="E35" s="714"/>
      <c r="F35" s="714"/>
      <c r="G35" s="714"/>
      <c r="H35" s="714"/>
      <c r="I35" s="714"/>
      <c r="J35" s="714"/>
      <c r="K35" s="714"/>
      <c r="L35" s="714"/>
      <c r="M35" s="714"/>
      <c r="N35" s="714"/>
      <c r="P35" s="13"/>
      <c r="Q35" s="15"/>
      <c r="R35" s="15"/>
      <c r="S35" s="15"/>
      <c r="T35" s="15"/>
      <c r="U35" s="15"/>
      <c r="V35" s="15"/>
      <c r="W35" s="15"/>
      <c r="X35" s="15"/>
      <c r="Y35" s="15"/>
      <c r="Z35" s="15"/>
    </row>
    <row r="36" spans="1:74" s="85" customFormat="1" x14ac:dyDescent="0.25">
      <c r="A36" s="13"/>
      <c r="P36" s="3"/>
      <c r="R36" s="213"/>
    </row>
    <row r="37" spans="1:74" s="85" customFormat="1" ht="36" customHeight="1" x14ac:dyDescent="0.25">
      <c r="A37" s="13"/>
      <c r="C37" s="715" t="str">
        <f>"Did the program have cohorts (classes) graduate in the " &amp;D4 &amp; " calendar year?"</f>
        <v>Did the program have cohorts (classes) graduate in the 2022 calendar year?</v>
      </c>
      <c r="D37" s="715"/>
      <c r="E37" s="715"/>
      <c r="F37" s="715"/>
      <c r="G37" s="326" t="s">
        <v>23</v>
      </c>
      <c r="H37" s="321"/>
      <c r="I37" s="792" t="str">
        <f>IF(AND(G37="No",G39="Please Select",G44="No",G46="Please Select"),"The sponsor's website should post the statement: 
'No graduates during the "&amp;D4&amp;" reporting year'.  
If the program has previous reported outcomes, then those outcomes should remain with the added statement.  Please visit the Annual Reports page of the CoAEMSP website for recommended outcomes posting language."&amp;" 
Complete ONLY the Resource Assessment and the General Information sections below.",IF(AND(G37="No",G39="Please Select",G44="Yes",G46="No"),"The sponsor's website should post the statement: 
'No graduates during the "&amp;D4&amp;" reporting year'.  
If the program has previous reported outcomes, then those outcomes should remain with the added statement. Please visit the Annual Reports page of the CoAEMSP website for recommended outcomes posting language."&amp;"
Please list the active satellite locations on the Satellite(s) tab, "&amp;"then return to this tab (i.e., "&amp;D4&amp;" Annual Report tab) and complete ONLY the Resource Assessment and the General Information sections below.",IF(AND(G37="Yes",G39=0,G44="Yes",G46="Yes"),"Step 1: Select and complete the "&amp;D4&amp;" Satellite(s) tab (bottom left of the spreadsheet).  Once the satellite data has been entered, the aggregate results will auto-populate in a "&amp;"single satellite outcome column [i.e., Satellites] in each of the tables below on this tab (i.e., "&amp;D4&amp;" Annual Report).  
Step 2: Return to this tab (i.e., "&amp;D4&amp;" Annual Report tab) and provide an analysis and action plan (if needed) for each of the tables that do not meet the outcome threshold and complete the remainder of the tab.",IF(AND(G37="Yes",G39&gt;=1,G44="Yes",G46="Yes"),"Step 1: Select and complete the "&amp;D4&amp;" Satellite(s) tab (bottom left of the spreadsheet).  Once the satellite data has been entered, the aggregate results will auto-populate in a "&amp;"single satellite outcome column [i.e., Satellites] in each of the tables below on this tab (i.e., "&amp;D4&amp;" Annual Report).  
Step 2: Return to this tab (i.e., "&amp;D4&amp;" Annual Report tab), add the main campus data in each of the tables below, provide an analysis and action plan (if needed) for each of the tables that do not meet the outcome threshold, and complete the remainder of the tab.",IF(OR(AND(G37="No",G39="Please Select",G44="Yes",G46="Yes"),AND(G37="No",G39="",G44="Yes",G46="Yes"),AND(G37="No",G39="0",G44="Yes",G46="Yes")),"Error has occurred.  IF there are graduates from the satellite location(s) in the "&amp;D4&amp;" calendar year, then the program graduated cohorts (classes) in the "&amp;D4&amp;" calendar year.",IF(AND(G37="Yes",G39=0,G44="No",G46="Please Select"),"Error has occurred.  If the program had graduates and did not operate any satellite location(s) in the "&amp;D4&amp;" calendar year, then there must be a number greater than zero for the primary (main) campus cohorts (classes).",IF(AND(G37="Yes",G39=0,G44="Yes",G46="No"),"Error has occurred.  If the program had graduates, then there must be a number greater than zero for the primary (main) campus cohorts (classes) or students from the satellite location(s) graduated.",IF(AND(G37="Yes",G39&gt;=1,G44="No",G46="Please Select"),"Complete each of the tables and sections below with the graduate outcomes data, as well as, the remainder of the tab.",IF(AND(G37="Yes",G39="0",G44="No",G46="No"),"Error has occurred.  IF the program operated any satellite location(s) in the "&amp;D4&amp;" calendar year, then the program had cohorts (classes) in the "&amp;D4&amp;" calendar year.",IF(AND(G37="Yes",G39&gt;=1,G44="Yes",G46="No"),"Step 1: Complete ONLY the top portion of  the "&amp;D4&amp;" Satellite(s) tab (select tab below).  No satellite data should be placed in the outcomes summary tables since the program reported there were no graduates in the satellite location(s).  
Step 2: Return to this tab (i.e., "&amp;D4&amp;" Annual Report tab), add the main campus data to the Retention/Attrition, National Registry/State Written Examination, and Positive Placement tables below and the remainder of the tab.",""))))))))))</f>
        <v/>
      </c>
      <c r="J37" s="792"/>
      <c r="K37" s="792"/>
      <c r="L37" s="792"/>
      <c r="M37" s="792"/>
      <c r="N37" s="792"/>
      <c r="O37" s="214" t="str">
        <f>IF(P37=1, "&lt;===", "")</f>
        <v/>
      </c>
      <c r="P37" s="364" t="str">
        <f>IF(OR(AND(G37="No",G46="Yes",D432&lt;&gt;""),AND(G37="Please Select", D432&lt;&gt;"")), 1, "")</f>
        <v/>
      </c>
    </row>
    <row r="38" spans="1:74" s="99" customFormat="1" x14ac:dyDescent="0.25">
      <c r="A38" s="13"/>
      <c r="I38" s="792"/>
      <c r="J38" s="792"/>
      <c r="K38" s="792"/>
      <c r="L38" s="792"/>
      <c r="M38" s="792"/>
      <c r="N38" s="792"/>
      <c r="P38" s="3"/>
    </row>
    <row r="39" spans="1:74" s="321" customFormat="1" ht="38.25" customHeight="1" x14ac:dyDescent="0.25">
      <c r="A39" s="13"/>
      <c r="B39" s="323"/>
      <c r="C39" s="716" t="str">
        <f>IF(G37="Yes","               Number of primary (main) campus cohorts (classes) 
               that graduated in " &amp;D4 &amp; ":",IF(AND(G37="No",G46="No"),"The program reports there were no graduates 
for the "&amp;D4&amp; " calendar year.", ""))</f>
        <v/>
      </c>
      <c r="D39" s="716"/>
      <c r="E39" s="716"/>
      <c r="F39" s="713"/>
      <c r="G39" s="324" t="s">
        <v>23</v>
      </c>
      <c r="I39" s="792"/>
      <c r="J39" s="792"/>
      <c r="K39" s="792"/>
      <c r="L39" s="792"/>
      <c r="M39" s="792"/>
      <c r="N39" s="792"/>
      <c r="O39" s="220" t="str">
        <f>IF(P39=1, "&lt;===", "")</f>
        <v/>
      </c>
      <c r="P39" s="364" t="str">
        <f>IF(AND(G37="Yes",G39="Please Select", D432&lt;&gt;""), 1, "")</f>
        <v/>
      </c>
      <c r="BL39" s="497"/>
      <c r="BM39" s="497"/>
      <c r="BN39" s="497"/>
      <c r="BO39" s="497"/>
      <c r="BP39" s="497"/>
      <c r="BQ39" s="287"/>
      <c r="BR39" s="287"/>
      <c r="BS39" s="287"/>
      <c r="BT39" s="287"/>
      <c r="BU39" s="287"/>
      <c r="BV39" s="287"/>
    </row>
    <row r="40" spans="1:74" s="79" customFormat="1" x14ac:dyDescent="0.25">
      <c r="A40" s="13"/>
      <c r="I40" s="792"/>
      <c r="J40" s="792"/>
      <c r="K40" s="792"/>
      <c r="L40" s="792"/>
      <c r="M40" s="792"/>
      <c r="N40" s="792"/>
      <c r="O40" s="218"/>
      <c r="P40" s="3"/>
    </row>
    <row r="41" spans="1:74" x14ac:dyDescent="0.25">
      <c r="I41" s="792"/>
      <c r="J41" s="792"/>
      <c r="K41" s="792"/>
      <c r="L41" s="792"/>
      <c r="M41" s="792"/>
      <c r="N41" s="792"/>
    </row>
    <row r="42" spans="1:74" s="16" customFormat="1" ht="9.9499999999999993" customHeight="1" x14ac:dyDescent="0.25">
      <c r="A42" s="205"/>
      <c r="I42" s="792"/>
      <c r="J42" s="792"/>
      <c r="K42" s="792"/>
      <c r="L42" s="792"/>
      <c r="M42" s="792"/>
      <c r="N42" s="792"/>
      <c r="P42" s="3"/>
    </row>
    <row r="43" spans="1:74" s="16" customFormat="1" ht="9.9499999999999993" customHeight="1" x14ac:dyDescent="0.25">
      <c r="A43" s="205"/>
      <c r="I43" s="792"/>
      <c r="J43" s="792"/>
      <c r="K43" s="792"/>
      <c r="L43" s="792"/>
      <c r="M43" s="792"/>
      <c r="N43" s="792"/>
      <c r="P43" s="3"/>
    </row>
    <row r="44" spans="1:74" s="174" customFormat="1" ht="36" customHeight="1" x14ac:dyDescent="0.25">
      <c r="A44" s="205"/>
      <c r="B44" s="44"/>
      <c r="C44" s="713" t="str">
        <f>IF(AND(G37="Yes",G39="Satellite(s) Only"),"","               Did the program operate any satellite 
               location(s) in the "&amp;D4&amp;" calendar year?")</f>
        <v xml:space="preserve">               Did the program operate any satellite 
               location(s) in the 2022 calendar year?</v>
      </c>
      <c r="D44" s="713"/>
      <c r="E44" s="713"/>
      <c r="F44" s="713"/>
      <c r="G44" s="325" t="s">
        <v>23</v>
      </c>
      <c r="I44" s="792"/>
      <c r="J44" s="792"/>
      <c r="K44" s="792"/>
      <c r="L44" s="792"/>
      <c r="M44" s="792"/>
      <c r="N44" s="792"/>
      <c r="O44" s="221" t="str">
        <f>IF(P44=1, "&lt;===", "")</f>
        <v/>
      </c>
      <c r="P44" s="364" t="str">
        <f>IF(AND(G39&lt;&gt;"Satellite(s) Only",G44="Please Select",D432&lt;&gt;""), 1, "")</f>
        <v/>
      </c>
    </row>
    <row r="45" spans="1:74" s="174" customFormat="1" ht="15.75" customHeight="1" x14ac:dyDescent="0.25">
      <c r="A45" s="205"/>
      <c r="I45" s="792"/>
      <c r="J45" s="792"/>
      <c r="K45" s="792"/>
      <c r="L45" s="792"/>
      <c r="M45" s="792"/>
      <c r="N45" s="792"/>
      <c r="P45" s="3"/>
    </row>
    <row r="46" spans="1:74" s="317" customFormat="1" ht="38.25" customHeight="1" x14ac:dyDescent="0.25">
      <c r="A46" s="205"/>
      <c r="B46" s="44"/>
      <c r="C46" s="713" t="str">
        <f>IF(AND(G39&gt;=1,G44="Yes"),"               Did any students in the satellite location(s)
               graduate in the "&amp;D4&amp;" calendar year?",IF(AND(G39=0,G44="Yes"),"               Did any students in the satellite location(s)
               graduate in the "&amp;D4&amp;" calendar year?",IF(AND(G39&lt;&gt;0,G44="No"),"The program reports there were no active satellite locations 
for the "&amp;D4&amp;" calendar year.","")))</f>
        <v/>
      </c>
      <c r="D46" s="713"/>
      <c r="E46" s="713"/>
      <c r="F46" s="713"/>
      <c r="G46" s="325" t="s">
        <v>23</v>
      </c>
      <c r="I46" s="792"/>
      <c r="J46" s="792"/>
      <c r="K46" s="792"/>
      <c r="L46" s="792"/>
      <c r="M46" s="792"/>
      <c r="N46" s="792"/>
      <c r="O46" s="221" t="str">
        <f>IF(P46=1, "&lt;===", "")</f>
        <v/>
      </c>
      <c r="P46" s="364" t="str">
        <f>IF(AND(G44="Yes",G46="Please Select",D432&lt;&gt;""), 1, "")</f>
        <v/>
      </c>
    </row>
    <row r="48" spans="1:74" s="21" customFormat="1" x14ac:dyDescent="0.25">
      <c r="A48" s="13"/>
      <c r="P48" s="3"/>
    </row>
    <row r="49" spans="1:83" s="21" customFormat="1" ht="32.25" customHeight="1" x14ac:dyDescent="0.25">
      <c r="A49" s="13"/>
      <c r="B49" s="554" t="s">
        <v>10</v>
      </c>
      <c r="C49" s="555"/>
      <c r="D49" s="555"/>
      <c r="E49" s="555"/>
      <c r="F49" s="555"/>
      <c r="G49" s="555"/>
      <c r="H49" s="555"/>
      <c r="I49" s="555"/>
      <c r="J49" s="555"/>
      <c r="K49" s="555"/>
      <c r="L49" s="555"/>
      <c r="M49" s="555"/>
      <c r="N49" s="555"/>
      <c r="P49" s="3"/>
    </row>
    <row r="50" spans="1:83" s="321" customFormat="1" ht="15" customHeight="1" x14ac:dyDescent="0.25">
      <c r="A50" s="13"/>
      <c r="B50" s="19"/>
      <c r="C50" s="20">
        <f>$D$16</f>
        <v>0</v>
      </c>
      <c r="D50" s="618">
        <f>$D$18</f>
        <v>0</v>
      </c>
      <c r="E50" s="618"/>
      <c r="F50" s="618"/>
      <c r="G50" s="618"/>
      <c r="H50" s="618"/>
      <c r="I50" s="618"/>
      <c r="J50" s="618"/>
      <c r="K50" s="618"/>
      <c r="P50" s="669" t="str">
        <f>IF(P54&lt;&gt;"",$D$16,"")</f>
        <v/>
      </c>
      <c r="Q50" s="669"/>
      <c r="R50" s="643" t="str">
        <f>IF(P54&lt;&gt;"",$D$18,"")</f>
        <v/>
      </c>
      <c r="S50" s="643"/>
      <c r="T50" s="643"/>
      <c r="U50" s="643"/>
      <c r="V50" s="643"/>
      <c r="W50" s="643"/>
      <c r="X50" s="643"/>
      <c r="Y50" s="643"/>
      <c r="Z50" s="643"/>
      <c r="AA50" s="643"/>
      <c r="AI50" s="669"/>
      <c r="AJ50" s="669"/>
      <c r="AK50" s="643"/>
      <c r="AL50" s="643"/>
      <c r="AM50" s="643"/>
      <c r="AN50" s="643"/>
      <c r="AO50" s="643"/>
      <c r="AP50" s="643"/>
      <c r="AQ50" s="643"/>
      <c r="AR50" s="643"/>
      <c r="AS50" s="643"/>
      <c r="AT50" s="643"/>
      <c r="BB50" s="669"/>
      <c r="BC50" s="669"/>
      <c r="BD50" s="691"/>
      <c r="BE50" s="691"/>
      <c r="BF50" s="691"/>
      <c r="BG50" s="691"/>
      <c r="BH50" s="691"/>
      <c r="BI50" s="691"/>
      <c r="BJ50" s="691"/>
      <c r="BK50" s="691"/>
      <c r="BL50" s="497"/>
      <c r="BM50" s="497"/>
      <c r="BN50" s="497"/>
      <c r="BO50" s="497"/>
      <c r="BP50" s="497"/>
      <c r="BQ50" s="287"/>
      <c r="BR50" s="287"/>
      <c r="BS50" s="287"/>
    </row>
    <row r="51" spans="1:83" s="321" customFormat="1" ht="36.75" customHeight="1" x14ac:dyDescent="0.25">
      <c r="A51" s="13"/>
      <c r="E51" s="159"/>
      <c r="J51" s="322"/>
      <c r="K51" s="322"/>
      <c r="L51" s="322"/>
      <c r="M51" s="322"/>
      <c r="N51" s="322"/>
      <c r="P51" s="3"/>
      <c r="R51" s="691" t="str">
        <f>IF(P54&lt;&gt;"","Retention","")</f>
        <v/>
      </c>
      <c r="S51" s="691"/>
      <c r="T51" s="460"/>
      <c r="U51" s="807" t="str">
        <f>IF(P54&lt;&gt;"","          Link to Available Resource Document      (optional)
CoAEMSP website =&gt; Resource Library =&gt; Instruments &amp; Forms","")</f>
        <v/>
      </c>
      <c r="V51" s="807"/>
      <c r="W51" s="807"/>
      <c r="X51" s="807"/>
      <c r="Y51" s="807"/>
      <c r="Z51" s="807"/>
      <c r="AK51" s="643"/>
      <c r="AL51" s="643"/>
      <c r="AM51" s="643"/>
      <c r="AN51" s="643"/>
      <c r="AO51" s="643"/>
      <c r="BD51" s="643"/>
      <c r="BE51" s="643"/>
      <c r="BF51" s="643"/>
      <c r="BG51" s="643"/>
      <c r="BH51" s="643"/>
      <c r="BJ51" s="287"/>
      <c r="BK51" s="287"/>
      <c r="BL51" s="497"/>
      <c r="BM51" s="497"/>
      <c r="BN51" s="497"/>
      <c r="BO51" s="497"/>
      <c r="BP51" s="497"/>
      <c r="BQ51" s="287"/>
      <c r="BR51" s="287"/>
      <c r="BS51" s="287"/>
      <c r="BT51" s="287"/>
      <c r="BU51" s="287"/>
      <c r="BV51" s="287"/>
      <c r="BW51" s="287"/>
      <c r="BX51" s="287"/>
      <c r="BY51" s="287"/>
      <c r="BZ51" s="287"/>
    </row>
    <row r="52" spans="1:83" s="43" customFormat="1" ht="24.75" customHeight="1" x14ac:dyDescent="0.25">
      <c r="A52" s="13"/>
      <c r="J52" s="197"/>
      <c r="P52" s="3"/>
      <c r="U52" s="466"/>
      <c r="V52" s="577" t="str">
        <f>IF(P54&lt;&gt;"","Program Review &amp; Analysis","")</f>
        <v/>
      </c>
      <c r="W52" s="577"/>
      <c r="X52" s="577"/>
      <c r="BJ52" s="287"/>
      <c r="BK52" s="287"/>
      <c r="BL52" s="287"/>
      <c r="BM52" s="287"/>
      <c r="BN52" s="287"/>
      <c r="BO52" s="287"/>
      <c r="BP52" s="287"/>
      <c r="BQ52" s="287"/>
      <c r="BR52" s="287"/>
      <c r="BS52" s="287"/>
      <c r="BT52" s="287"/>
      <c r="BU52" s="287"/>
      <c r="BV52" s="287"/>
      <c r="BW52" s="287"/>
      <c r="BX52" s="287"/>
      <c r="BY52" s="287"/>
      <c r="BZ52" s="287"/>
    </row>
    <row r="53" spans="1:83" s="37" customFormat="1" ht="23.25" customHeight="1" x14ac:dyDescent="0.25">
      <c r="A53" s="204"/>
      <c r="B53" s="39" t="s">
        <v>150</v>
      </c>
      <c r="C53" s="31"/>
      <c r="D53" s="31"/>
      <c r="E53" s="31"/>
      <c r="F53" s="31"/>
      <c r="G53" s="31"/>
      <c r="H53" s="31"/>
      <c r="I53" s="31"/>
      <c r="J53" s="31"/>
      <c r="K53" s="31"/>
      <c r="L53" s="31"/>
      <c r="M53" s="31"/>
      <c r="N53" s="32"/>
      <c r="P53" s="364"/>
      <c r="R53" s="433" t="str">
        <f>IF(P54&lt;&gt;"","REQUIRED: A detailed ANALYSIS for Retention outcome in the box below","")</f>
        <v/>
      </c>
      <c r="BJ53" s="437"/>
      <c r="BK53" s="437"/>
      <c r="BL53" s="437"/>
      <c r="BM53" s="437"/>
      <c r="BN53" s="437"/>
      <c r="BO53" s="437"/>
      <c r="BP53" s="437"/>
      <c r="BQ53" s="437"/>
      <c r="BR53" s="437"/>
      <c r="BS53" s="437"/>
      <c r="BT53" s="437"/>
      <c r="BU53" s="437"/>
      <c r="BV53" s="437"/>
      <c r="BW53" s="437"/>
      <c r="BX53" s="437"/>
      <c r="BY53" s="437"/>
      <c r="BZ53" s="437"/>
    </row>
    <row r="54" spans="1:83" s="38" customFormat="1" ht="124.5" customHeight="1" x14ac:dyDescent="0.25">
      <c r="A54" s="205"/>
      <c r="B54" s="778" t="str">
        <f>"The Retention outcome threshold set by the CoAEMSP is 70% and based on the Retention/Attrition formula.  All programs must calculate Retention based upon the number of students enrolled after completing 10% of the program’s advertised TOTAL clock hours " &amp;"(e.g., 10% of 1,200 total clock hours = 120 hours; students completing more than 120 hours will be considered enrolled " &amp;"and will be counted in the calculation of the Retention outcome).  This includes all CORE Paramedic coursework (not inclusive of prerequisites such as English, anatomy and physiology, EMT, etc.).  " &amp;"Core Paramedic coursework encompasses all phases of the program including didactic, lab, clinical, field experience, and capstone field internship.
Retention" &amp;" will be computed using the total number of students that completed in the most recent reporting year ("&amp;D4&amp;") and is calculated by determining Attrition (the number of students who dropped out divided by the number enrolled after 10% of total clock hours)." &amp;"  Once the Attrition percentage has been determined, then the Retention percentage is 100% minus the Attrition percentage." &amp; "  "</f>
        <v xml:space="preserve">The Retention outcome threshold set by the CoAEMSP is 70% and based on the Retention/Attrition formula.  All programs must calculate Retention based upon the number of students enrolled after completing 10% of the program’s advertised TOTAL clock hours (e.g., 10% of 1,200 total clock hours = 120 hours; students completing more than 120 hours will be considered enrolled and will be counted in the calculation of the Retention outcome).  This includes all CORE Paramedic coursework (not inclusive of prerequisites such as English, anatomy and physiology, EMT, etc.).  Core Paramedic coursework encompasses all phases of the program including didactic, lab, clinical, field experience, and capstone field internship.
Retention will be computed using the total number of students that completed in the most recent reporting year (2022) and is calculated by determining Attrition (the number of students who dropped out divided by the number enrolled after 10% of total clock hours).  Once the Attrition percentage has been determined, then the Retention percentage is 100% minus the Attrition percentage.  </v>
      </c>
      <c r="C54" s="779"/>
      <c r="D54" s="779"/>
      <c r="E54" s="779"/>
      <c r="F54" s="779"/>
      <c r="G54" s="779"/>
      <c r="H54" s="779"/>
      <c r="I54" s="779"/>
      <c r="J54" s="779"/>
      <c r="K54" s="779"/>
      <c r="L54" s="779"/>
      <c r="M54" s="779"/>
      <c r="N54" s="780"/>
      <c r="P54" s="403" t="str">
        <f>IF(AND(B74="The outcome threshold of 70% has not been met.  
Completion of the analysis and action plan boxes to the right are required ==&gt;",B75=""),"1)","")</f>
        <v/>
      </c>
      <c r="Q54" s="421"/>
      <c r="R54" s="770"/>
      <c r="S54" s="770"/>
      <c r="T54" s="770"/>
      <c r="U54" s="770"/>
      <c r="V54" s="770"/>
      <c r="W54" s="770"/>
      <c r="X54" s="770"/>
      <c r="Y54" s="770"/>
      <c r="Z54" s="770"/>
      <c r="AA54" s="482" t="str">
        <f>IF(AB54=1, "&lt;===", "")</f>
        <v/>
      </c>
      <c r="AB54" s="444" t="str">
        <f>IF(AND(P54&lt;&gt;"",R54="", D432&lt;&gt;""),1, "")</f>
        <v/>
      </c>
      <c r="AC54" s="434"/>
      <c r="AD54" s="434"/>
      <c r="AE54" s="434"/>
      <c r="AF54" s="434"/>
      <c r="AG54" s="287"/>
      <c r="AH54" s="435"/>
      <c r="AI54" s="657"/>
      <c r="AJ54" s="657"/>
      <c r="AK54" s="657"/>
      <c r="AL54" s="657"/>
      <c r="AM54" s="657"/>
      <c r="AN54" s="657"/>
      <c r="AO54" s="657"/>
      <c r="AP54" s="287"/>
      <c r="AQ54" s="435"/>
      <c r="AR54" s="657"/>
      <c r="AS54" s="657"/>
      <c r="AT54" s="657"/>
      <c r="AU54" s="657"/>
      <c r="AV54" s="657"/>
      <c r="AW54" s="657"/>
      <c r="AX54" s="657"/>
      <c r="AY54" s="287"/>
      <c r="AZ54" s="435"/>
      <c r="BA54" s="657"/>
      <c r="BB54" s="657"/>
      <c r="BC54" s="657"/>
      <c r="BD54" s="657"/>
      <c r="BE54" s="657"/>
      <c r="BF54" s="657"/>
      <c r="BG54" s="657"/>
      <c r="BH54" s="287"/>
      <c r="BI54" s="435"/>
      <c r="BJ54" s="657"/>
      <c r="BK54" s="657"/>
      <c r="BL54" s="657"/>
      <c r="BM54" s="657"/>
      <c r="BN54" s="657"/>
      <c r="BO54" s="657"/>
      <c r="BP54" s="657"/>
      <c r="BQ54" s="287"/>
      <c r="BR54" s="287"/>
      <c r="BS54" s="287"/>
      <c r="BT54" s="287"/>
      <c r="BU54" s="287"/>
      <c r="BV54" s="287"/>
      <c r="BW54" s="287"/>
      <c r="BX54" s="287"/>
      <c r="BY54" s="287"/>
      <c r="BZ54" s="287"/>
      <c r="CA54" s="287"/>
      <c r="CB54" s="287"/>
      <c r="CC54" s="287"/>
      <c r="CD54" s="287"/>
      <c r="CE54" s="287"/>
    </row>
    <row r="55" spans="1:83" s="427" customFormat="1" x14ac:dyDescent="0.25">
      <c r="A55" s="13"/>
      <c r="B55" s="786"/>
      <c r="C55" s="787"/>
      <c r="D55" s="787"/>
      <c r="E55" s="532"/>
      <c r="F55" s="530"/>
      <c r="G55" s="533"/>
      <c r="H55" s="532"/>
      <c r="I55" s="532"/>
      <c r="J55" s="532"/>
      <c r="K55" s="532"/>
      <c r="L55" s="532"/>
      <c r="M55" s="532"/>
      <c r="N55" s="531"/>
      <c r="P55" s="3"/>
      <c r="R55" s="770"/>
      <c r="S55" s="770"/>
      <c r="T55" s="770"/>
      <c r="U55" s="770"/>
      <c r="V55" s="770"/>
      <c r="W55" s="770"/>
      <c r="X55" s="770"/>
      <c r="Y55" s="770"/>
      <c r="Z55" s="770"/>
    </row>
    <row r="56" spans="1:83" s="38" customFormat="1" ht="30" x14ac:dyDescent="0.25">
      <c r="A56" s="205"/>
      <c r="B56" s="789" t="s">
        <v>20</v>
      </c>
      <c r="C56" s="790"/>
      <c r="D56" s="791"/>
      <c r="E56" s="24" t="str">
        <f>IF(AND($G$37="Yes",$G$39&gt;=1,$G$39&lt;&gt;"Please Select",$G$39&lt;&gt;"0"),"Cohort 
#1:",IF(AND(G37="Yes",G39=0),"No Primary",IF(G37="No","No Graduates","")))</f>
        <v/>
      </c>
      <c r="F56" s="25" t="str">
        <f>IF(AND($G$39&gt;=2,$G$39&lt;&gt;"Please Select",$G$39&lt;&gt;0),"Cohort 
#2:",IF(AND(G37="Yes",G39=0),"(main) Campus",""))</f>
        <v/>
      </c>
      <c r="G56" s="24" t="str">
        <f>IF(AND($G$39&gt;=3,$G$39&lt;&gt;"Please Select",$G$39&lt;&gt;0),"Cohort 
#3:",IF(AND(G37="Yes",G39=0),"Graduates",""))</f>
        <v/>
      </c>
      <c r="H56" s="24" t="str">
        <f>IF(AND($G$39&gt;=4,$G$39&lt;&gt;"Please Select",$G$39&lt;&gt;"Satellite(s) Only"),"Cohort 
#4:","")</f>
        <v/>
      </c>
      <c r="I56" s="25" t="str">
        <f>IF(AND($G$39&gt;=5,$G$39&lt;&gt;"Please Select",$G$39&lt;&gt;"Satellite(s) Only"), "Cohort 
#5:","")</f>
        <v/>
      </c>
      <c r="J56" s="25" t="str">
        <f>IF(AND($G$39&gt;=6, $G$39&lt;&gt;"Please Select",$G$39&lt;&gt;"Satellite(s) Only"),"Cohort 
#6:","")</f>
        <v/>
      </c>
      <c r="K56" s="25" t="str">
        <f>IF(AND($G$39&gt;=7,$G$39&lt;&gt;"Please Select",$G$39&lt;&gt;"Satellite(s) Only"), "Cohort 
#7:","")</f>
        <v/>
      </c>
      <c r="L56" s="25" t="str">
        <f>IF(AND($G$39&gt;=8, $G$39&lt;&gt;"Please Select",$G$39&lt;&gt;"Satellite(s) Only"),"Cohort 
#8:","")</f>
        <v/>
      </c>
      <c r="M56" s="24" t="str">
        <f>IF(AND(G44="Yes",G46="Yes"),"Satellites Data",IF(G44="No","No Satellites",IF(AND(G44="Yes",G46="No"),"No Satellites","")))</f>
        <v/>
      </c>
      <c r="N56" s="25" t="s">
        <v>12</v>
      </c>
      <c r="P56" s="223"/>
      <c r="Q56" s="501"/>
      <c r="R56" s="770"/>
      <c r="S56" s="770"/>
      <c r="T56" s="770"/>
      <c r="U56" s="770"/>
      <c r="V56" s="770"/>
      <c r="W56" s="770"/>
      <c r="X56" s="770"/>
      <c r="Y56" s="770"/>
      <c r="Z56" s="770"/>
      <c r="AA56" s="437"/>
      <c r="AB56" s="287"/>
      <c r="AC56" s="287"/>
      <c r="AD56" s="287"/>
      <c r="AE56" s="287"/>
      <c r="AF56" s="267"/>
      <c r="AG56" s="424"/>
      <c r="AH56" s="287"/>
      <c r="AI56" s="651"/>
      <c r="AJ56" s="651"/>
      <c r="AK56" s="287"/>
      <c r="AL56" s="287"/>
      <c r="AM56" s="287"/>
      <c r="AN56" s="287"/>
      <c r="AO56" s="267"/>
      <c r="AP56" s="424"/>
      <c r="AQ56" s="287"/>
      <c r="AR56" s="651"/>
      <c r="AS56" s="651"/>
      <c r="AT56" s="287"/>
      <c r="AU56" s="287"/>
      <c r="AV56" s="287"/>
      <c r="AW56" s="287"/>
      <c r="AX56" s="439"/>
      <c r="AY56" s="424"/>
      <c r="AZ56" s="287"/>
      <c r="BA56" s="651"/>
      <c r="BB56" s="651"/>
      <c r="BC56" s="287"/>
      <c r="BD56" s="287"/>
      <c r="BE56" s="287"/>
      <c r="BF56" s="287"/>
      <c r="BG56" s="267"/>
      <c r="BH56" s="424"/>
      <c r="BI56" s="287"/>
      <c r="BJ56" s="671"/>
      <c r="BK56" s="671"/>
      <c r="BL56" s="671"/>
      <c r="BM56" s="671"/>
      <c r="BN56" s="671"/>
      <c r="BO56" s="671"/>
      <c r="BP56" s="671"/>
      <c r="BQ56" s="496"/>
      <c r="BR56" s="287"/>
      <c r="BS56" s="287"/>
      <c r="BT56" s="287"/>
      <c r="BU56" s="287"/>
      <c r="BV56" s="287"/>
      <c r="BW56" s="287"/>
      <c r="BX56" s="287"/>
      <c r="BY56" s="287"/>
      <c r="BZ56" s="287"/>
      <c r="CA56" s="287"/>
      <c r="CB56" s="287"/>
      <c r="CC56" s="287"/>
      <c r="CD56" s="287"/>
      <c r="CE56" s="287"/>
    </row>
    <row r="57" spans="1:83" s="21" customFormat="1" ht="18" customHeight="1" x14ac:dyDescent="0.25">
      <c r="A57" s="205"/>
      <c r="B57" s="63" t="s">
        <v>14</v>
      </c>
      <c r="C57" s="62"/>
      <c r="D57" s="207" t="s">
        <v>59</v>
      </c>
      <c r="E57" s="399"/>
      <c r="F57" s="399"/>
      <c r="G57" s="399"/>
      <c r="H57" s="399"/>
      <c r="I57" s="399"/>
      <c r="J57" s="399"/>
      <c r="K57" s="399"/>
      <c r="L57" s="399"/>
      <c r="M57" s="76"/>
      <c r="N57" s="65"/>
      <c r="O57" s="11" t="str">
        <f>IF(P57=1, "&lt;===", "")</f>
        <v/>
      </c>
      <c r="P57" s="3" t="str">
        <f>IF(OR(AND(E57="",E71&lt;&gt;"",D432&lt;&gt;""),AND(F57="",F71&lt;&gt;"",D432&lt;&gt;""),AND(G57="",G71&lt;&gt;"",D432&lt;&gt;""),AND(H57="",H71&lt;&gt;"",D432&lt;&gt;""),AND(I57="",I71&lt;&gt;"",D432&lt;&gt;""),AND(J57="",J71&lt;&gt;"",D432&lt;&gt;""),AND(K57="",K71&lt;&gt;"",D432&lt;&gt;""),AND(L57="",L71&lt;&gt;"",D432&lt;&gt;"")),1,"")</f>
        <v/>
      </c>
      <c r="Q57" s="427"/>
      <c r="R57" s="770"/>
      <c r="S57" s="770"/>
      <c r="T57" s="770"/>
      <c r="U57" s="770"/>
      <c r="V57" s="770"/>
      <c r="W57" s="770"/>
      <c r="X57" s="770"/>
      <c r="Y57" s="770"/>
      <c r="Z57" s="770"/>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671"/>
      <c r="BK57" s="671"/>
      <c r="BL57" s="671"/>
      <c r="BM57" s="671"/>
      <c r="BN57" s="671"/>
      <c r="BO57" s="671"/>
      <c r="BP57" s="671"/>
      <c r="BQ57" s="439"/>
      <c r="BR57" s="287"/>
      <c r="BS57" s="287"/>
      <c r="BT57" s="287"/>
      <c r="BU57" s="287"/>
      <c r="BV57" s="287"/>
      <c r="BW57" s="287"/>
      <c r="BX57" s="287"/>
      <c r="BY57" s="287"/>
      <c r="BZ57" s="287"/>
      <c r="CA57" s="287"/>
      <c r="CB57" s="287"/>
      <c r="CC57" s="287"/>
      <c r="CD57" s="287"/>
      <c r="CE57" s="287"/>
    </row>
    <row r="58" spans="1:83" s="21" customFormat="1" ht="18" customHeight="1" x14ac:dyDescent="0.25">
      <c r="A58" s="205"/>
      <c r="B58" s="768" t="s">
        <v>11</v>
      </c>
      <c r="C58" s="769"/>
      <c r="D58" s="208" t="s">
        <v>59</v>
      </c>
      <c r="E58" s="400"/>
      <c r="F58" s="400"/>
      <c r="G58" s="400"/>
      <c r="H58" s="400"/>
      <c r="I58" s="400"/>
      <c r="J58" s="400"/>
      <c r="K58" s="400"/>
      <c r="L58" s="400"/>
      <c r="M58" s="66"/>
      <c r="N58" s="67"/>
      <c r="O58" s="339" t="str">
        <f>IF(P58=1, "&lt;===", "")</f>
        <v/>
      </c>
      <c r="P58" s="224" t="str">
        <f>IF(OR(AND(E58="",E71&lt;&gt;"",D432&lt;&gt;""),AND(F58="",F71&lt;&gt;"",D432&lt;&gt;""),AND(G58="",G71&lt;&gt;"",D432&lt;&gt;""),AND(H58="",H71&lt;&gt;"",D432&lt;&gt;""),AND(I58="",I71&lt;&gt;"",D432&lt;&gt;""),AND(J58="",J71&lt;&gt;"",D432&lt;&gt;""),AND(K58="",K71&lt;&gt;"",D432&lt;&gt;""),AND(L58="",L71&lt;&gt;"",D432&lt;&gt;"")),1,"")</f>
        <v/>
      </c>
      <c r="Q58" s="427"/>
      <c r="R58" s="770"/>
      <c r="S58" s="770"/>
      <c r="T58" s="770"/>
      <c r="U58" s="770"/>
      <c r="V58" s="770"/>
      <c r="W58" s="770"/>
      <c r="X58" s="770"/>
      <c r="Y58" s="770"/>
      <c r="Z58" s="770"/>
      <c r="AA58" s="287"/>
      <c r="AB58" s="287"/>
      <c r="AC58" s="287"/>
      <c r="AD58" s="287"/>
      <c r="AE58" s="287"/>
      <c r="AF58" s="287"/>
      <c r="AG58" s="287"/>
      <c r="AH58" s="287"/>
      <c r="AI58" s="287"/>
      <c r="AJ58" s="287"/>
      <c r="AK58" s="440"/>
      <c r="AL58" s="287"/>
      <c r="AM58" s="287"/>
      <c r="AN58" s="287"/>
      <c r="AO58" s="287"/>
      <c r="AP58" s="287"/>
      <c r="AQ58" s="287"/>
      <c r="AR58" s="441"/>
      <c r="AS58" s="441"/>
      <c r="AT58" s="441"/>
      <c r="AU58" s="441"/>
      <c r="AV58" s="441"/>
      <c r="AW58" s="441"/>
      <c r="AX58" s="441"/>
      <c r="AY58" s="287"/>
      <c r="AZ58" s="287"/>
      <c r="BA58" s="287"/>
      <c r="BB58" s="287"/>
      <c r="BC58" s="287"/>
      <c r="BD58" s="287"/>
      <c r="BE58" s="287"/>
      <c r="BF58" s="287"/>
      <c r="BG58" s="287"/>
      <c r="BH58" s="287"/>
      <c r="BI58" s="287"/>
      <c r="BJ58" s="671"/>
      <c r="BK58" s="671"/>
      <c r="BL58" s="671"/>
      <c r="BM58" s="671"/>
      <c r="BN58" s="671"/>
      <c r="BO58" s="671"/>
      <c r="BP58" s="671"/>
      <c r="BQ58" s="287"/>
      <c r="BR58" s="287"/>
      <c r="BS58" s="287"/>
      <c r="BT58" s="287"/>
      <c r="BU58" s="287"/>
      <c r="BV58" s="287"/>
      <c r="BW58" s="287"/>
      <c r="BX58" s="287"/>
      <c r="BY58" s="287"/>
      <c r="BZ58" s="287"/>
      <c r="CA58" s="287"/>
      <c r="CB58" s="287"/>
      <c r="CC58" s="287"/>
      <c r="CD58" s="287"/>
      <c r="CE58" s="287"/>
    </row>
    <row r="59" spans="1:83" s="21" customFormat="1" ht="18" customHeight="1" x14ac:dyDescent="0.25">
      <c r="A59" s="205"/>
      <c r="B59" s="230" t="s">
        <v>134</v>
      </c>
      <c r="C59" s="128"/>
      <c r="D59" s="128"/>
      <c r="E59" s="401"/>
      <c r="F59" s="402"/>
      <c r="G59" s="402"/>
      <c r="H59" s="402"/>
      <c r="I59" s="402"/>
      <c r="J59" s="402"/>
      <c r="K59" s="402"/>
      <c r="L59" s="402"/>
      <c r="M59" s="406" t="str">
        <f>'2022 Satellite(s)'!$N$66</f>
        <v/>
      </c>
      <c r="N59" s="127" t="str">
        <f>IF(SUM(E59:M59)=0,"",SUM(E59:M59))</f>
        <v/>
      </c>
      <c r="O59" s="11" t="str">
        <f>IF(P59=1, "&lt;===", "")</f>
        <v/>
      </c>
      <c r="P59" s="225" t="str">
        <f>IF(OR(AND(E59="",E71&lt;&gt;"",D432&lt;&gt;""),AND(F59="",F71&lt;&gt;"",D432&lt;&gt;""),AND(G59="",G71&lt;&gt;"",D432&lt;&gt;""),AND(H59="",H71&lt;&gt;"",D432&lt;&gt;""),AND(I59="",I71&lt;&gt;"",D432&lt;&gt;""),AND(J59="",J71&lt;&gt;"",D432&lt;&gt;""),AND(K59="",K71&lt;&gt;"",D432&lt;&gt;""),AND(L59="",L71&lt;&gt;"",D432&lt;&gt;""),AND(M59="",M71&lt;&gt;"",D432&lt;&gt;"")),1,"")</f>
        <v/>
      </c>
      <c r="Q59" s="421"/>
      <c r="R59" s="770"/>
      <c r="S59" s="770"/>
      <c r="T59" s="770"/>
      <c r="U59" s="770"/>
      <c r="V59" s="770"/>
      <c r="W59" s="770"/>
      <c r="X59" s="770"/>
      <c r="Y59" s="770"/>
      <c r="Z59" s="770"/>
      <c r="AA59" s="442"/>
      <c r="AB59" s="442"/>
      <c r="AC59" s="442"/>
      <c r="AD59" s="442"/>
      <c r="AE59" s="442"/>
      <c r="AF59" s="442"/>
      <c r="AG59" s="287"/>
      <c r="AH59" s="435"/>
      <c r="AI59" s="672"/>
      <c r="AJ59" s="672"/>
      <c r="AK59" s="672"/>
      <c r="AL59" s="672"/>
      <c r="AM59" s="672"/>
      <c r="AN59" s="672"/>
      <c r="AO59" s="672"/>
      <c r="AP59" s="287"/>
      <c r="AQ59" s="435"/>
      <c r="AR59" s="672"/>
      <c r="AS59" s="672"/>
      <c r="AT59" s="672"/>
      <c r="AU59" s="672"/>
      <c r="AV59" s="672"/>
      <c r="AW59" s="672"/>
      <c r="AX59" s="672"/>
      <c r="AY59" s="287"/>
      <c r="AZ59" s="435"/>
      <c r="BA59" s="690"/>
      <c r="BB59" s="690"/>
      <c r="BC59" s="690"/>
      <c r="BD59" s="690"/>
      <c r="BE59" s="690"/>
      <c r="BF59" s="690"/>
      <c r="BG59" s="690"/>
      <c r="BH59" s="287"/>
      <c r="BI59" s="287"/>
      <c r="BJ59" s="671"/>
      <c r="BK59" s="671"/>
      <c r="BL59" s="671"/>
      <c r="BM59" s="671"/>
      <c r="BN59" s="671"/>
      <c r="BO59" s="671"/>
      <c r="BP59" s="671"/>
      <c r="BQ59" s="287"/>
      <c r="BR59" s="287"/>
      <c r="BS59" s="287"/>
      <c r="BT59" s="287"/>
      <c r="BU59" s="287"/>
      <c r="BV59" s="287"/>
      <c r="BW59" s="287"/>
      <c r="BX59" s="287"/>
      <c r="BY59" s="287"/>
      <c r="BZ59" s="287"/>
      <c r="CA59" s="287"/>
      <c r="CB59" s="287"/>
      <c r="CC59" s="287"/>
      <c r="CD59" s="287"/>
      <c r="CE59" s="287"/>
    </row>
    <row r="60" spans="1:83" s="21" customFormat="1" ht="44.25" customHeight="1" x14ac:dyDescent="0.25">
      <c r="A60" s="205"/>
      <c r="B60" s="805" t="s">
        <v>142</v>
      </c>
      <c r="C60" s="806"/>
      <c r="D60" s="806"/>
      <c r="E60" s="806"/>
      <c r="F60" s="806"/>
      <c r="G60" s="806"/>
      <c r="H60" s="806"/>
      <c r="I60" s="806"/>
      <c r="J60" s="806"/>
      <c r="K60" s="806"/>
      <c r="L60" s="806"/>
      <c r="M60" s="806"/>
      <c r="N60" s="126"/>
      <c r="P60" s="223"/>
      <c r="Q60" s="212"/>
      <c r="R60" s="770"/>
      <c r="S60" s="770"/>
      <c r="T60" s="770"/>
      <c r="U60" s="770"/>
      <c r="V60" s="770"/>
      <c r="W60" s="770"/>
      <c r="X60" s="770"/>
      <c r="Y60" s="770"/>
      <c r="Z60" s="770"/>
      <c r="AA60" s="442"/>
      <c r="AB60" s="442"/>
      <c r="AC60" s="442"/>
      <c r="AD60" s="442"/>
      <c r="AE60" s="442"/>
      <c r="AF60" s="442"/>
      <c r="AG60" s="287"/>
      <c r="AH60" s="287"/>
      <c r="AI60" s="672"/>
      <c r="AJ60" s="672"/>
      <c r="AK60" s="672"/>
      <c r="AL60" s="672"/>
      <c r="AM60" s="672"/>
      <c r="AN60" s="672"/>
      <c r="AO60" s="672"/>
      <c r="AP60" s="287"/>
      <c r="AQ60" s="287"/>
      <c r="AR60" s="672"/>
      <c r="AS60" s="672"/>
      <c r="AT60" s="672"/>
      <c r="AU60" s="672"/>
      <c r="AV60" s="672"/>
      <c r="AW60" s="672"/>
      <c r="AX60" s="672"/>
      <c r="AY60" s="287"/>
      <c r="AZ60" s="287"/>
      <c r="BA60" s="651"/>
      <c r="BB60" s="651"/>
      <c r="BC60" s="287"/>
      <c r="BD60" s="287"/>
      <c r="BE60" s="287"/>
      <c r="BF60" s="287"/>
      <c r="BG60" s="267" t="str">
        <f>IF(OR(AND(P54&lt;&gt;"", BA60="Please Select",D432&lt;&gt;""),AND(P54&lt;&gt;"",BA60="",D432&lt;&gt;"")),1, "")</f>
        <v/>
      </c>
      <c r="BH60" s="424"/>
      <c r="BI60" s="287"/>
      <c r="BJ60" s="671"/>
      <c r="BK60" s="671"/>
      <c r="BL60" s="671"/>
      <c r="BM60" s="671"/>
      <c r="BN60" s="671"/>
      <c r="BO60" s="671"/>
      <c r="BP60" s="671"/>
      <c r="BQ60" s="287"/>
      <c r="BR60" s="287"/>
      <c r="BS60" s="287"/>
      <c r="BT60" s="287"/>
      <c r="BU60" s="287"/>
      <c r="BV60" s="287"/>
      <c r="BW60" s="287"/>
      <c r="BX60" s="287"/>
      <c r="BY60" s="287"/>
      <c r="BZ60" s="287"/>
      <c r="CA60" s="287"/>
      <c r="CB60" s="287"/>
      <c r="CC60" s="287"/>
      <c r="CD60" s="287"/>
      <c r="CE60" s="287"/>
    </row>
    <row r="61" spans="1:83" s="21" customFormat="1" ht="18" customHeight="1" x14ac:dyDescent="0.25">
      <c r="A61" s="205"/>
      <c r="B61" s="64"/>
      <c r="C61" s="160" t="s">
        <v>24</v>
      </c>
      <c r="D61" s="125"/>
      <c r="E61" s="163"/>
      <c r="F61" s="164"/>
      <c r="G61" s="164"/>
      <c r="H61" s="164"/>
      <c r="I61" s="164"/>
      <c r="J61" s="164"/>
      <c r="K61" s="164"/>
      <c r="L61" s="164"/>
      <c r="M61" s="327" t="str">
        <f>'2022 Satellite(s)'!$N$68</f>
        <v/>
      </c>
      <c r="N61" s="177" t="str">
        <f>IF(COUNT(E61:M61),SUM(E61:M61),"")</f>
        <v/>
      </c>
      <c r="O61" s="221" t="str">
        <f>IF(P61=1, "&lt;===", "")</f>
        <v/>
      </c>
      <c r="P61" s="223" t="str">
        <f>IF(OR(AND(E59&lt;&gt;"",E61="",D432&lt;&gt;""),AND(F59&lt;&gt;"",F61="",D432&lt;&gt;""),AND(G59&lt;&gt;"",G61="",D432&lt;&gt;""),AND(H59&lt;&gt;"",H61="",D432&lt;&gt;""),AND(I59&lt;&gt;"",I61="",D432&lt;&gt;""),AND(J59&lt;&gt;"",J61="",D432&lt;&gt;""),AND(K59&lt;&gt;"",K61="",D432&lt;&gt;""),AND(L59&lt;&gt;"",L61="",D432&lt;&gt;""),AND(M59&lt;&gt;"",M61="",D432&lt;&gt;"")), 1, "")</f>
        <v/>
      </c>
      <c r="Q61" s="421"/>
      <c r="R61" s="770"/>
      <c r="S61" s="770"/>
      <c r="T61" s="770"/>
      <c r="U61" s="770"/>
      <c r="V61" s="770"/>
      <c r="W61" s="770"/>
      <c r="X61" s="770"/>
      <c r="Y61" s="770"/>
      <c r="Z61" s="770"/>
      <c r="AA61" s="442"/>
      <c r="AB61" s="442"/>
      <c r="AC61" s="442"/>
      <c r="AD61" s="442"/>
      <c r="AE61" s="442"/>
      <c r="AF61" s="442"/>
      <c r="AG61" s="287"/>
      <c r="AH61" s="287"/>
      <c r="AI61" s="651"/>
      <c r="AJ61" s="651"/>
      <c r="AK61" s="434"/>
      <c r="AL61" s="434"/>
      <c r="AM61" s="434"/>
      <c r="AN61" s="434"/>
      <c r="AO61" s="444"/>
      <c r="AP61" s="424"/>
      <c r="AQ61" s="287"/>
      <c r="AR61" s="651"/>
      <c r="AS61" s="651"/>
      <c r="AT61" s="441"/>
      <c r="AU61" s="441"/>
      <c r="AV61" s="441"/>
      <c r="AW61" s="441"/>
      <c r="AX61" s="445"/>
      <c r="AY61" s="424"/>
      <c r="AZ61" s="287"/>
      <c r="BA61" s="287"/>
      <c r="BB61" s="287"/>
      <c r="BC61" s="287"/>
      <c r="BD61" s="287"/>
      <c r="BE61" s="287"/>
      <c r="BF61" s="287"/>
      <c r="BG61" s="287"/>
      <c r="BH61" s="287"/>
      <c r="BI61" s="287"/>
      <c r="BJ61" s="671"/>
      <c r="BK61" s="671"/>
      <c r="BL61" s="671"/>
      <c r="BM61" s="671"/>
      <c r="BN61" s="671"/>
      <c r="BO61" s="671"/>
      <c r="BP61" s="671"/>
      <c r="BQ61" s="287"/>
      <c r="BR61" s="287"/>
      <c r="BS61" s="287"/>
      <c r="BT61" s="287"/>
      <c r="BU61" s="287"/>
      <c r="BV61" s="287"/>
      <c r="BW61" s="287"/>
      <c r="BX61" s="287"/>
      <c r="BY61" s="287"/>
      <c r="BZ61" s="287"/>
      <c r="CA61" s="287"/>
      <c r="CB61" s="287"/>
      <c r="CC61" s="287"/>
      <c r="CD61" s="287"/>
      <c r="CE61" s="287"/>
    </row>
    <row r="62" spans="1:83" s="21" customFormat="1" ht="18" customHeight="1" x14ac:dyDescent="0.25">
      <c r="A62" s="205"/>
      <c r="B62" s="59"/>
      <c r="C62" s="161" t="s">
        <v>25</v>
      </c>
      <c r="D62" s="60"/>
      <c r="E62" s="165"/>
      <c r="F62" s="165"/>
      <c r="G62" s="165"/>
      <c r="H62" s="165"/>
      <c r="I62" s="165"/>
      <c r="J62" s="165"/>
      <c r="K62" s="165"/>
      <c r="L62" s="165"/>
      <c r="M62" s="328" t="str">
        <f>'2022 Satellite(s)'!$N$69</f>
        <v/>
      </c>
      <c r="N62" s="72" t="str">
        <f>IF(COUNT(E62:M62),SUM(E62:M62),"")</f>
        <v/>
      </c>
      <c r="O62" s="221" t="str">
        <f>IF(P62=1, "&lt;===", "")</f>
        <v/>
      </c>
      <c r="P62" s="224" t="str">
        <f>IF(OR(AND(E59&lt;&gt;"",E62="",D432&lt;&gt;""),AND(F59&lt;&gt;"",F62="",D432&lt;&gt;""),AND(G59&lt;&gt;"",G62="",D432&lt;&gt;""),AND(H59&lt;&gt;"",H62="",D432&lt;&gt;""),AND(I59&lt;&gt;"",I62="",D432&lt;&gt;""),AND(J59&lt;&gt;"",J62="",D432&lt;&gt;""),AND(K59&lt;&gt;"",K62="",D432&lt;&gt;""),AND(L59&lt;&gt;"",L62="",D432&lt;&gt;""),AND(M59&lt;&gt;"",M62="",D432&lt;&gt;"")), 1, "")</f>
        <v/>
      </c>
      <c r="Q62" s="3" t="str">
        <f>IF(OR(AND(E59&lt;&gt;"",E63="",D432&lt;&gt;""),AND(F59&lt;&gt;"",F63="",D432&lt;&gt;""),AND(G59&lt;&gt;"",G63="",D432&lt;&gt;""),AND(H59&lt;&gt;"",H63="",D432&lt;&gt;""),AND(I59&lt;&gt;"",I63="",D432&lt;&gt;""),AND(J59&lt;&gt;"",J63="",D432&lt;&gt;""),AND(K59&lt;&gt;"",K63="",D432&lt;&gt;""),AND(L59&lt;&gt;"",L63="",D432&lt;&gt;""),AND(M59&lt;&gt;"",M63="",D432&lt;&gt;"")), 1, "")</f>
        <v/>
      </c>
      <c r="R62" s="770"/>
      <c r="S62" s="770"/>
      <c r="T62" s="770"/>
      <c r="U62" s="770"/>
      <c r="V62" s="770"/>
      <c r="W62" s="770"/>
      <c r="X62" s="770"/>
      <c r="Y62" s="770"/>
      <c r="Z62" s="770"/>
      <c r="AA62" s="437"/>
      <c r="AB62" s="287"/>
      <c r="AC62" s="287"/>
      <c r="AD62" s="287"/>
      <c r="AE62" s="287"/>
      <c r="AF62" s="267"/>
      <c r="AG62" s="424"/>
      <c r="AH62" s="287"/>
      <c r="AI62" s="287"/>
      <c r="AJ62" s="287"/>
      <c r="AK62" s="440"/>
      <c r="AL62" s="287"/>
      <c r="AM62" s="287"/>
      <c r="AN62" s="287"/>
      <c r="AO62" s="287"/>
      <c r="AP62" s="287"/>
      <c r="AQ62" s="287"/>
      <c r="AR62" s="441"/>
      <c r="AS62" s="441"/>
      <c r="AT62" s="441"/>
      <c r="AU62" s="441"/>
      <c r="AV62" s="441"/>
      <c r="AW62" s="441"/>
      <c r="AX62" s="441"/>
      <c r="AY62" s="287"/>
      <c r="AZ62" s="287"/>
      <c r="BA62" s="689"/>
      <c r="BB62" s="689"/>
      <c r="BC62" s="689"/>
      <c r="BD62" s="689"/>
      <c r="BE62" s="689"/>
      <c r="BF62" s="689"/>
      <c r="BG62" s="689"/>
      <c r="BH62" s="287"/>
      <c r="BI62" s="287"/>
      <c r="BJ62" s="671"/>
      <c r="BK62" s="671"/>
      <c r="BL62" s="671"/>
      <c r="BM62" s="671"/>
      <c r="BN62" s="671"/>
      <c r="BO62" s="671"/>
      <c r="BP62" s="671"/>
      <c r="BQ62" s="287"/>
      <c r="BR62" s="287"/>
      <c r="BS62" s="287"/>
      <c r="BT62" s="287"/>
      <c r="BU62" s="287"/>
      <c r="BV62" s="287"/>
      <c r="BW62" s="287"/>
      <c r="BX62" s="287"/>
      <c r="BY62" s="287"/>
      <c r="BZ62" s="287"/>
      <c r="CA62" s="287"/>
      <c r="CB62" s="287"/>
      <c r="CC62" s="287"/>
      <c r="CD62" s="287"/>
      <c r="CE62" s="287"/>
    </row>
    <row r="63" spans="1:83" s="21" customFormat="1" ht="18" customHeight="1" x14ac:dyDescent="0.25">
      <c r="A63" s="205"/>
      <c r="B63" s="64"/>
      <c r="C63" s="160" t="s">
        <v>26</v>
      </c>
      <c r="D63" s="61"/>
      <c r="E63" s="166"/>
      <c r="F63" s="166"/>
      <c r="G63" s="166"/>
      <c r="H63" s="166"/>
      <c r="I63" s="166"/>
      <c r="J63" s="166"/>
      <c r="K63" s="166"/>
      <c r="L63" s="166"/>
      <c r="M63" s="329" t="str">
        <f>'2022 Satellite(s)'!$N$70</f>
        <v/>
      </c>
      <c r="N63" s="71" t="str">
        <f>IF(COUNT(E63:M63),SUM(E63:M63),"")</f>
        <v/>
      </c>
      <c r="O63" s="221" t="str">
        <f>IF(Q62=1, "&lt;===", "")</f>
        <v/>
      </c>
      <c r="P63" s="225"/>
      <c r="Q63" s="425"/>
      <c r="R63" s="770"/>
      <c r="S63" s="770"/>
      <c r="T63" s="770"/>
      <c r="U63" s="770"/>
      <c r="V63" s="770"/>
      <c r="W63" s="770"/>
      <c r="X63" s="770"/>
      <c r="Y63" s="770"/>
      <c r="Z63" s="770"/>
      <c r="AA63" s="287"/>
      <c r="AB63" s="287"/>
      <c r="AC63" s="287"/>
      <c r="AD63" s="287"/>
      <c r="AE63" s="287"/>
      <c r="AF63" s="287"/>
      <c r="AG63" s="287"/>
      <c r="AH63" s="287"/>
      <c r="AI63" s="287"/>
      <c r="AJ63" s="287"/>
      <c r="AK63" s="287"/>
      <c r="AL63" s="287"/>
      <c r="AM63" s="287"/>
      <c r="AN63" s="287"/>
      <c r="AO63" s="287"/>
      <c r="AP63" s="287"/>
      <c r="AQ63" s="287"/>
      <c r="AR63" s="446"/>
      <c r="AS63" s="446"/>
      <c r="AT63" s="446"/>
      <c r="AU63" s="446"/>
      <c r="AV63" s="446"/>
      <c r="AW63" s="446"/>
      <c r="AX63" s="446"/>
      <c r="AY63" s="287"/>
      <c r="AZ63" s="287"/>
      <c r="BA63" s="689"/>
      <c r="BB63" s="689"/>
      <c r="BC63" s="689"/>
      <c r="BD63" s="689"/>
      <c r="BE63" s="689"/>
      <c r="BF63" s="689"/>
      <c r="BG63" s="689"/>
      <c r="BH63" s="287"/>
      <c r="BI63" s="287"/>
      <c r="BJ63" s="671"/>
      <c r="BK63" s="671"/>
      <c r="BL63" s="671"/>
      <c r="BM63" s="671"/>
      <c r="BN63" s="671"/>
      <c r="BO63" s="671"/>
      <c r="BP63" s="671"/>
      <c r="BQ63" s="287"/>
      <c r="BR63" s="287"/>
      <c r="BS63" s="287"/>
      <c r="BT63" s="287"/>
      <c r="BU63" s="287"/>
      <c r="BV63" s="287"/>
      <c r="BW63" s="287"/>
      <c r="BX63" s="287"/>
      <c r="BY63" s="287"/>
      <c r="BZ63" s="287"/>
      <c r="CA63" s="287"/>
      <c r="CB63" s="287"/>
      <c r="CC63" s="287"/>
      <c r="CD63" s="287"/>
      <c r="CE63" s="287"/>
    </row>
    <row r="64" spans="1:83" s="58" customFormat="1" ht="25.5" customHeight="1" x14ac:dyDescent="0.25">
      <c r="A64" s="205"/>
      <c r="B64" s="162" t="s">
        <v>39</v>
      </c>
      <c r="C64" s="26"/>
      <c r="D64" s="26"/>
      <c r="E64" s="195" t="str">
        <f>IF(OR(E61="",E62="",E63=""),"",SUM(E61:E63))</f>
        <v/>
      </c>
      <c r="F64" s="195" t="str">
        <f t="shared" ref="F64:M64" si="0">IF(OR(F61="",F62="",F63=""),"",SUM(F61:F63))</f>
        <v/>
      </c>
      <c r="G64" s="195" t="str">
        <f t="shared" si="0"/>
        <v/>
      </c>
      <c r="H64" s="195" t="str">
        <f t="shared" si="0"/>
        <v/>
      </c>
      <c r="I64" s="195" t="str">
        <f t="shared" si="0"/>
        <v/>
      </c>
      <c r="J64" s="195" t="str">
        <f t="shared" si="0"/>
        <v/>
      </c>
      <c r="K64" s="195" t="str">
        <f t="shared" si="0"/>
        <v/>
      </c>
      <c r="L64" s="195" t="str">
        <f t="shared" si="0"/>
        <v/>
      </c>
      <c r="M64" s="195" t="str">
        <f t="shared" si="0"/>
        <v/>
      </c>
      <c r="N64" s="192" t="str">
        <f>IF(COUNT(N61:N63),SUM(N61:N63),"")</f>
        <v/>
      </c>
      <c r="P64" s="3"/>
      <c r="Q64" s="80"/>
      <c r="R64" s="770"/>
      <c r="S64" s="770"/>
      <c r="T64" s="770"/>
      <c r="U64" s="770"/>
      <c r="V64" s="770"/>
      <c r="W64" s="770"/>
      <c r="X64" s="770"/>
      <c r="Y64" s="770"/>
      <c r="Z64" s="770"/>
      <c r="AA64" s="287"/>
      <c r="AB64" s="287"/>
      <c r="AC64" s="287"/>
      <c r="AD64" s="287"/>
      <c r="AE64" s="287"/>
      <c r="AF64" s="287"/>
      <c r="AG64" s="287"/>
      <c r="AH64" s="287"/>
      <c r="AI64" s="287"/>
      <c r="AJ64" s="287"/>
      <c r="AK64" s="287"/>
      <c r="AL64" s="287"/>
      <c r="AM64" s="287"/>
      <c r="AN64" s="287"/>
      <c r="AO64" s="287"/>
      <c r="AP64" s="287"/>
      <c r="AQ64" s="287"/>
      <c r="AR64" s="446"/>
      <c r="AS64" s="446"/>
      <c r="AT64" s="446"/>
      <c r="AU64" s="446"/>
      <c r="AV64" s="446"/>
      <c r="AW64" s="446"/>
      <c r="AX64" s="446"/>
      <c r="AY64" s="287"/>
      <c r="AZ64" s="287"/>
      <c r="BA64" s="651"/>
      <c r="BB64" s="651"/>
      <c r="BC64" s="287"/>
      <c r="BD64" s="287"/>
      <c r="BE64" s="287"/>
      <c r="BF64" s="287"/>
      <c r="BG64" s="267" t="str">
        <f>IF(AND(P54&lt;&gt;"", BA64="Please Select",D432&lt;&gt;""),1, "")</f>
        <v/>
      </c>
      <c r="BH64" s="424" t="str">
        <f>IF(BG64=1,"&lt;===", "")</f>
        <v/>
      </c>
      <c r="BI64" s="287"/>
      <c r="BJ64" s="671"/>
      <c r="BK64" s="671"/>
      <c r="BL64" s="671"/>
      <c r="BM64" s="671"/>
      <c r="BN64" s="671"/>
      <c r="BO64" s="671"/>
      <c r="BP64" s="671"/>
      <c r="BQ64" s="287"/>
      <c r="BR64" s="287"/>
      <c r="BS64" s="287"/>
      <c r="BT64" s="287"/>
      <c r="BU64" s="287"/>
      <c r="BV64" s="287"/>
      <c r="BW64" s="287"/>
      <c r="BX64" s="287"/>
      <c r="BY64" s="287"/>
      <c r="BZ64" s="287"/>
      <c r="CA64" s="287"/>
      <c r="CB64" s="287"/>
      <c r="CC64" s="287"/>
      <c r="CD64" s="287"/>
      <c r="CE64" s="287"/>
    </row>
    <row r="65" spans="1:152" s="21" customFormat="1" ht="44.25" customHeight="1" x14ac:dyDescent="0.25">
      <c r="A65" s="205"/>
      <c r="B65" s="805" t="s">
        <v>141</v>
      </c>
      <c r="C65" s="806"/>
      <c r="D65" s="806"/>
      <c r="E65" s="806"/>
      <c r="F65" s="806"/>
      <c r="G65" s="806"/>
      <c r="H65" s="806"/>
      <c r="I65" s="806"/>
      <c r="J65" s="806"/>
      <c r="K65" s="806"/>
      <c r="L65" s="806"/>
      <c r="M65" s="806"/>
      <c r="N65" s="178"/>
      <c r="O65" s="43"/>
      <c r="P65" s="225"/>
      <c r="Q65" s="80"/>
      <c r="R65" s="425" t="str">
        <f>IF(P54&lt;&gt;"","REQUIRED: A detailed Action Plan for Retention outcome in the box below","")</f>
        <v/>
      </c>
      <c r="S65" s="80"/>
      <c r="T65" s="80"/>
      <c r="U65" s="80"/>
      <c r="V65" s="80"/>
      <c r="W65" s="80"/>
      <c r="Y65" s="81"/>
      <c r="Z65" s="422"/>
      <c r="AA65" s="442"/>
      <c r="AB65" s="442"/>
      <c r="AC65" s="442"/>
      <c r="AD65" s="442"/>
      <c r="AE65" s="442"/>
      <c r="AF65" s="442"/>
      <c r="AG65" s="287"/>
      <c r="AH65" s="435"/>
      <c r="AI65" s="672"/>
      <c r="AJ65" s="672"/>
      <c r="AK65" s="672"/>
      <c r="AL65" s="672"/>
      <c r="AM65" s="672"/>
      <c r="AN65" s="672"/>
      <c r="AO65" s="672"/>
      <c r="AP65" s="287"/>
      <c r="AQ65" s="287"/>
      <c r="AR65" s="672"/>
      <c r="AS65" s="672"/>
      <c r="AT65" s="672"/>
      <c r="AU65" s="672"/>
      <c r="AV65" s="672"/>
      <c r="AW65" s="672"/>
      <c r="AX65" s="672"/>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row>
    <row r="66" spans="1:152" s="21" customFormat="1" ht="18" customHeight="1" x14ac:dyDescent="0.25">
      <c r="A66" s="205"/>
      <c r="B66" s="64"/>
      <c r="C66" s="160" t="s">
        <v>27</v>
      </c>
      <c r="D66" s="61"/>
      <c r="E66" s="163"/>
      <c r="F66" s="163"/>
      <c r="G66" s="163"/>
      <c r="H66" s="163"/>
      <c r="I66" s="163"/>
      <c r="J66" s="163"/>
      <c r="K66" s="163"/>
      <c r="L66" s="163"/>
      <c r="M66" s="330" t="str">
        <f>'2022 Satellite(s)'!N73</f>
        <v/>
      </c>
      <c r="N66" s="179" t="str">
        <f>IF(COUNT(E66:M66),SUM(E66:M66),"")</f>
        <v/>
      </c>
      <c r="O66" s="221" t="str">
        <f>IF(P66=1, "&lt;===", "")</f>
        <v/>
      </c>
      <c r="P66" s="364" t="str">
        <f>IF(OR(AND(E59&lt;&gt;"",E66="",D432&lt;&gt;""),AND(F59&lt;&gt;"",F66="",D432&lt;&gt;""),AND(G59&lt;&gt;"",G66="",D432&lt;&gt;""),AND(H59&lt;&gt;"",H66="",D432&lt;&gt;""),AND(I59&lt;&gt;"",I66="",D432&lt;&gt;""),AND(J59&lt;&gt;"",J66="",D432&lt;&gt;""),AND(K59&lt;&gt;"",K66="",D432&lt;&gt;""),AND(L59&lt;&gt;"",L66="",D432&lt;&gt;""),AND(M59&lt;&gt;"",M66="",D432&lt;&gt;"")), 1, "")</f>
        <v/>
      </c>
      <c r="Q66" s="83"/>
      <c r="R66" s="770"/>
      <c r="S66" s="770"/>
      <c r="T66" s="770"/>
      <c r="U66" s="770"/>
      <c r="V66" s="770"/>
      <c r="W66" s="770"/>
      <c r="X66" s="770"/>
      <c r="Y66" s="770"/>
      <c r="Z66" s="770"/>
      <c r="AA66" s="442"/>
      <c r="AB66" s="442"/>
      <c r="AC66" s="442"/>
      <c r="AD66" s="442"/>
      <c r="AE66" s="442"/>
      <c r="AF66" s="442"/>
      <c r="AG66" s="287"/>
      <c r="AH66" s="287"/>
      <c r="AI66" s="672"/>
      <c r="AJ66" s="672"/>
      <c r="AK66" s="672"/>
      <c r="AL66" s="672"/>
      <c r="AM66" s="672"/>
      <c r="AN66" s="672"/>
      <c r="AO66" s="672"/>
      <c r="AP66" s="287"/>
      <c r="AQ66" s="287"/>
      <c r="AR66" s="672"/>
      <c r="AS66" s="672"/>
      <c r="AT66" s="672"/>
      <c r="AU66" s="672"/>
      <c r="AV66" s="672"/>
      <c r="AW66" s="672"/>
      <c r="AX66" s="672"/>
      <c r="AY66" s="287"/>
      <c r="AZ66" s="287"/>
      <c r="BA66" s="672"/>
      <c r="BB66" s="672"/>
      <c r="BC66" s="672"/>
      <c r="BD66" s="672"/>
      <c r="BE66" s="672"/>
      <c r="BF66" s="672"/>
      <c r="BG66" s="672"/>
      <c r="BH66" s="287"/>
      <c r="BI66" s="435"/>
      <c r="BJ66" s="657"/>
      <c r="BK66" s="657"/>
      <c r="BL66" s="657"/>
      <c r="BM66" s="657"/>
      <c r="BN66" s="657"/>
      <c r="BO66" s="657"/>
      <c r="BP66" s="657"/>
      <c r="BQ66" s="287"/>
      <c r="BR66" s="287"/>
      <c r="BS66" s="287"/>
      <c r="BT66" s="287"/>
      <c r="BU66" s="287"/>
      <c r="BV66" s="287"/>
      <c r="BW66" s="287"/>
      <c r="BX66" s="287"/>
      <c r="BY66" s="287"/>
      <c r="BZ66" s="287"/>
      <c r="CA66" s="287"/>
      <c r="CB66" s="287"/>
      <c r="CC66" s="287"/>
      <c r="CD66" s="287"/>
      <c r="CE66" s="287"/>
    </row>
    <row r="67" spans="1:152" s="21" customFormat="1" ht="18" customHeight="1" x14ac:dyDescent="0.25">
      <c r="A67" s="205"/>
      <c r="B67" s="175"/>
      <c r="C67" s="161" t="s">
        <v>41</v>
      </c>
      <c r="D67" s="126"/>
      <c r="E67" s="169"/>
      <c r="F67" s="169"/>
      <c r="G67" s="169"/>
      <c r="H67" s="169"/>
      <c r="I67" s="169"/>
      <c r="J67" s="169"/>
      <c r="K67" s="169"/>
      <c r="L67" s="169"/>
      <c r="M67" s="331" t="str">
        <f>'2022 Satellite(s)'!N74</f>
        <v/>
      </c>
      <c r="N67" s="73" t="str">
        <f>IF(COUNT(E67:M67),SUM(E67:M67),"")</f>
        <v/>
      </c>
      <c r="O67" s="221" t="str">
        <f>IF(P67=1, "&lt;===", "")</f>
        <v/>
      </c>
      <c r="P67" s="225" t="str">
        <f>IF(OR(AND(E59&lt;&gt;"",E67="",D432&lt;&gt;""),AND(F59&lt;&gt;"",F67="",D432&lt;&gt;""),AND(G59&lt;&gt;"",G67="",D432&lt;&gt;""),AND(H59&lt;&gt;"",H67="",D432&lt;&gt;""),AND(I59&lt;&gt;"",I67="",D432&lt;&gt;""),AND(J59&lt;&gt;"",J67="",D432&lt;&gt;""),AND(K59&lt;&gt;"",K67="",D432&lt;&gt;""),AND(L59&lt;&gt;"",L67="",D432&lt;&gt;""),AND(M59&lt;&gt;"",M67="",D432&lt;&gt;"")), 1, "")</f>
        <v/>
      </c>
      <c r="Q67" s="83"/>
      <c r="R67" s="770"/>
      <c r="S67" s="770"/>
      <c r="T67" s="770"/>
      <c r="U67" s="770"/>
      <c r="V67" s="770"/>
      <c r="W67" s="770"/>
      <c r="X67" s="770"/>
      <c r="Y67" s="770"/>
      <c r="Z67" s="770"/>
      <c r="AA67" s="481" t="str">
        <f>IF(AB67=1, "&lt;===", "")</f>
        <v/>
      </c>
      <c r="AB67" s="439" t="str">
        <f>IF(AND(P54&lt;&gt;"",R66="", D432&lt;&gt;""),1, "")</f>
        <v/>
      </c>
      <c r="AC67" s="628"/>
      <c r="AD67" s="628"/>
      <c r="AE67" s="651"/>
      <c r="AF67" s="651"/>
      <c r="AG67" s="424"/>
      <c r="AH67" s="287"/>
      <c r="AI67" s="651"/>
      <c r="AJ67" s="651"/>
      <c r="AK67" s="287"/>
      <c r="AL67" s="287"/>
      <c r="AM67" s="287"/>
      <c r="AN67" s="287"/>
      <c r="AO67" s="439"/>
      <c r="AP67" s="424"/>
      <c r="AQ67" s="287"/>
      <c r="AR67" s="671"/>
      <c r="AS67" s="671"/>
      <c r="AT67" s="671"/>
      <c r="AU67" s="671"/>
      <c r="AV67" s="671"/>
      <c r="AW67" s="671"/>
      <c r="AX67" s="671"/>
      <c r="AY67" s="287"/>
      <c r="AZ67" s="287"/>
      <c r="BA67" s="672"/>
      <c r="BB67" s="672"/>
      <c r="BC67" s="672"/>
      <c r="BD67" s="672"/>
      <c r="BE67" s="672"/>
      <c r="BF67" s="672"/>
      <c r="BG67" s="672"/>
      <c r="BH67" s="287"/>
      <c r="BI67" s="287"/>
      <c r="BJ67" s="657"/>
      <c r="BK67" s="657"/>
      <c r="BL67" s="657"/>
      <c r="BM67" s="657"/>
      <c r="BN67" s="657"/>
      <c r="BO67" s="657"/>
      <c r="BP67" s="657"/>
      <c r="BQ67" s="287"/>
      <c r="BR67" s="287"/>
      <c r="BS67" s="287"/>
      <c r="BT67" s="287"/>
      <c r="BU67" s="287"/>
      <c r="BV67" s="287"/>
      <c r="BW67" s="287"/>
      <c r="BX67" s="287"/>
      <c r="BY67" s="287"/>
      <c r="BZ67" s="287"/>
      <c r="CA67" s="287"/>
      <c r="CB67" s="287"/>
      <c r="CC67" s="287"/>
      <c r="CD67" s="287"/>
      <c r="CE67" s="287"/>
    </row>
    <row r="68" spans="1:152" s="21" customFormat="1" ht="18" customHeight="1" x14ac:dyDescent="0.25">
      <c r="A68" s="205"/>
      <c r="B68" s="64"/>
      <c r="C68" s="160" t="s">
        <v>42</v>
      </c>
      <c r="D68" s="61"/>
      <c r="E68" s="168"/>
      <c r="F68" s="168"/>
      <c r="G68" s="168"/>
      <c r="H68" s="168"/>
      <c r="I68" s="168"/>
      <c r="J68" s="168"/>
      <c r="K68" s="168"/>
      <c r="L68" s="168"/>
      <c r="M68" s="332" t="str">
        <f>'2022 Satellite(s)'!N75</f>
        <v/>
      </c>
      <c r="N68" s="74" t="str">
        <f>IF(COUNT(E68:M68),SUM(E68:M68),"")</f>
        <v/>
      </c>
      <c r="O68" s="221" t="str">
        <f>IF(P68=1, "&lt;===", "")</f>
        <v/>
      </c>
      <c r="P68" s="225" t="str">
        <f>IF(OR(AND(E59&lt;&gt;"",E68="",D432&lt;&gt;""),AND(F59&lt;&gt;"",F68="",D432&lt;&gt;""),AND(G59&lt;&gt;"",G68="",D432&lt;&gt;""),AND(H59&lt;&gt;"",H68="",D432&lt;&gt;""),AND(I59&lt;&gt;"",I68="",D432&lt;&gt;""),AND(J59&lt;&gt;"",J68="",D432&lt;&gt;""),AND(K59&lt;&gt;"",K68="",D432&lt;&gt;""),AND(L59&lt;&gt;"",L68="",D432&lt;&gt;""),AND(M59&lt;&gt;"",M68="",D432&lt;&gt;"")), 1, "")</f>
        <v/>
      </c>
      <c r="Q68" s="446"/>
      <c r="R68" s="770"/>
      <c r="S68" s="770"/>
      <c r="T68" s="770"/>
      <c r="U68" s="770"/>
      <c r="V68" s="770"/>
      <c r="W68" s="770"/>
      <c r="X68" s="770"/>
      <c r="Y68" s="770"/>
      <c r="Z68" s="770"/>
      <c r="AA68" s="287"/>
      <c r="AB68" s="287"/>
      <c r="AC68" s="287"/>
      <c r="AD68" s="287"/>
      <c r="AE68" s="287"/>
      <c r="AF68" s="267"/>
      <c r="AG68" s="287"/>
      <c r="AH68" s="287"/>
      <c r="AI68" s="287"/>
      <c r="AJ68" s="287"/>
      <c r="AK68" s="287"/>
      <c r="AL68" s="287"/>
      <c r="AM68" s="287"/>
      <c r="AN68" s="287"/>
      <c r="AO68" s="287"/>
      <c r="AP68" s="287"/>
      <c r="AQ68" s="287"/>
      <c r="AR68" s="671"/>
      <c r="AS68" s="671"/>
      <c r="AT68" s="671"/>
      <c r="AU68" s="671"/>
      <c r="AV68" s="671"/>
      <c r="AW68" s="671"/>
      <c r="AX68" s="671"/>
      <c r="AY68" s="287"/>
      <c r="AZ68" s="287"/>
      <c r="BA68" s="671"/>
      <c r="BB68" s="671"/>
      <c r="BC68" s="671"/>
      <c r="BD68" s="671"/>
      <c r="BE68" s="671"/>
      <c r="BF68" s="671"/>
      <c r="BG68" s="671"/>
      <c r="BH68" s="287"/>
      <c r="BI68" s="287"/>
      <c r="BJ68" s="671"/>
      <c r="BK68" s="671"/>
      <c r="BL68" s="671"/>
      <c r="BM68" s="671"/>
      <c r="BN68" s="671"/>
      <c r="BO68" s="671"/>
      <c r="BP68" s="671"/>
      <c r="BQ68" s="287"/>
      <c r="BR68" s="287"/>
      <c r="BS68" s="287"/>
      <c r="BT68" s="287"/>
      <c r="BU68" s="287"/>
      <c r="BV68" s="287"/>
      <c r="BW68" s="287"/>
      <c r="BX68" s="287"/>
      <c r="BY68" s="287"/>
      <c r="BZ68" s="287"/>
      <c r="CA68" s="287"/>
      <c r="CB68" s="287"/>
      <c r="CC68" s="287"/>
      <c r="CD68" s="287"/>
      <c r="CE68" s="287"/>
    </row>
    <row r="69" spans="1:152" s="58" customFormat="1" ht="25.5" customHeight="1" x14ac:dyDescent="0.25">
      <c r="A69" s="205"/>
      <c r="B69" s="775" t="s">
        <v>40</v>
      </c>
      <c r="C69" s="776"/>
      <c r="D69" s="777"/>
      <c r="E69" s="195" t="str">
        <f>IF(OR(E66="",E67="",E68=""),"",SUM(E66:E68))</f>
        <v/>
      </c>
      <c r="F69" s="195" t="str">
        <f>IF(OR(F66="",F67="",F68=""),"",SUM(F66:F68))</f>
        <v/>
      </c>
      <c r="G69" s="195" t="str">
        <f t="shared" ref="G69:M69" si="1">IF(OR(G66="",G67="",G68=""),"",SUM(G66:G68))</f>
        <v/>
      </c>
      <c r="H69" s="195" t="str">
        <f>IF(OR(H66="",H67="",H68=""),"",SUM(H66:H68))</f>
        <v/>
      </c>
      <c r="I69" s="195" t="str">
        <f t="shared" si="1"/>
        <v/>
      </c>
      <c r="J69" s="195" t="str">
        <f>IF(OR(J66="",J67="",J68=""),"",SUM(J66:J68))</f>
        <v/>
      </c>
      <c r="K69" s="195" t="str">
        <f t="shared" si="1"/>
        <v/>
      </c>
      <c r="L69" s="195" t="str">
        <f t="shared" si="1"/>
        <v/>
      </c>
      <c r="M69" s="195" t="str">
        <f t="shared" si="1"/>
        <v/>
      </c>
      <c r="N69" s="192" t="str">
        <f>IF(COUNT(N66:N68),SUM(N66:N68),"")</f>
        <v/>
      </c>
      <c r="P69" s="223"/>
      <c r="Q69" s="446"/>
      <c r="R69" s="770"/>
      <c r="S69" s="770"/>
      <c r="T69" s="770"/>
      <c r="U69" s="770"/>
      <c r="V69" s="770"/>
      <c r="W69" s="770"/>
      <c r="X69" s="770"/>
      <c r="Y69" s="770"/>
      <c r="Z69" s="770"/>
      <c r="AA69" s="442"/>
      <c r="AB69" s="442"/>
      <c r="AC69" s="442"/>
      <c r="AD69" s="442"/>
      <c r="AE69" s="442"/>
      <c r="AF69" s="442"/>
      <c r="AG69" s="287"/>
      <c r="AH69" s="287"/>
      <c r="AI69" s="672"/>
      <c r="AJ69" s="672"/>
      <c r="AK69" s="672"/>
      <c r="AL69" s="672"/>
      <c r="AM69" s="672"/>
      <c r="AN69" s="672"/>
      <c r="AO69" s="672"/>
      <c r="AP69" s="287"/>
      <c r="AQ69" s="287"/>
      <c r="AR69" s="671"/>
      <c r="AS69" s="671"/>
      <c r="AT69" s="671"/>
      <c r="AU69" s="671"/>
      <c r="AV69" s="671"/>
      <c r="AW69" s="671"/>
      <c r="AX69" s="671"/>
      <c r="AY69" s="287"/>
      <c r="AZ69" s="287"/>
      <c r="BA69" s="671"/>
      <c r="BB69" s="671"/>
      <c r="BC69" s="671"/>
      <c r="BD69" s="671"/>
      <c r="BE69" s="671"/>
      <c r="BF69" s="671"/>
      <c r="BG69" s="671"/>
      <c r="BH69" s="287"/>
      <c r="BI69" s="287"/>
      <c r="BJ69" s="671"/>
      <c r="BK69" s="671"/>
      <c r="BL69" s="671"/>
      <c r="BM69" s="671"/>
      <c r="BN69" s="671"/>
      <c r="BO69" s="671"/>
      <c r="BP69" s="671"/>
      <c r="BQ69" s="287"/>
      <c r="BR69" s="287"/>
      <c r="BS69" s="287"/>
      <c r="BT69" s="287"/>
      <c r="BU69" s="287"/>
      <c r="BV69" s="287"/>
      <c r="BW69" s="287"/>
      <c r="BX69" s="287"/>
      <c r="BY69" s="287"/>
      <c r="BZ69" s="287"/>
      <c r="CA69" s="287"/>
      <c r="CB69" s="287"/>
      <c r="CC69" s="287"/>
      <c r="CD69" s="287"/>
      <c r="CE69" s="287"/>
    </row>
    <row r="70" spans="1:152" s="21" customFormat="1" ht="24.75" customHeight="1" x14ac:dyDescent="0.25">
      <c r="A70" s="205"/>
      <c r="B70" s="771" t="str">
        <f>"Total Attrition " &amp;D4</f>
        <v>Total Attrition 2022</v>
      </c>
      <c r="C70" s="772"/>
      <c r="D70" s="773"/>
      <c r="E70" s="194" t="str">
        <f>IF(OR(E59=0,E64="",E69=""),"",(SUM(E64,E69)))</f>
        <v/>
      </c>
      <c r="F70" s="194" t="str">
        <f t="shared" ref="F70:M70" si="2">IF(OR(F59=0,F64="",F69=""),"",(SUM(F64,F69)))</f>
        <v/>
      </c>
      <c r="G70" s="194" t="str">
        <f t="shared" si="2"/>
        <v/>
      </c>
      <c r="H70" s="194" t="str">
        <f t="shared" si="2"/>
        <v/>
      </c>
      <c r="I70" s="194" t="str">
        <f t="shared" si="2"/>
        <v/>
      </c>
      <c r="J70" s="194" t="str">
        <f t="shared" si="2"/>
        <v/>
      </c>
      <c r="K70" s="194" t="str">
        <f t="shared" si="2"/>
        <v/>
      </c>
      <c r="L70" s="194" t="str">
        <f t="shared" si="2"/>
        <v/>
      </c>
      <c r="M70" s="194" t="str">
        <f t="shared" si="2"/>
        <v/>
      </c>
      <c r="N70" s="193" t="str">
        <f>IF(COUNT(E70:M70),SUM(E70:M70),"")</f>
        <v/>
      </c>
      <c r="P70" s="224"/>
      <c r="Q70" s="446"/>
      <c r="R70" s="770"/>
      <c r="S70" s="770"/>
      <c r="T70" s="770"/>
      <c r="U70" s="770"/>
      <c r="V70" s="770"/>
      <c r="W70" s="770"/>
      <c r="X70" s="770"/>
      <c r="Y70" s="770"/>
      <c r="Z70" s="770"/>
      <c r="AA70" s="442"/>
      <c r="AB70" s="442"/>
      <c r="AC70" s="442"/>
      <c r="AD70" s="442"/>
      <c r="AE70" s="442"/>
      <c r="AF70" s="442"/>
      <c r="AG70" s="287"/>
      <c r="AH70" s="287"/>
      <c r="AI70" s="672"/>
      <c r="AJ70" s="672"/>
      <c r="AK70" s="672"/>
      <c r="AL70" s="672"/>
      <c r="AM70" s="672"/>
      <c r="AN70" s="672"/>
      <c r="AO70" s="672"/>
      <c r="AP70" s="287"/>
      <c r="AQ70" s="287"/>
      <c r="AR70" s="671"/>
      <c r="AS70" s="671"/>
      <c r="AT70" s="671"/>
      <c r="AU70" s="671"/>
      <c r="AV70" s="671"/>
      <c r="AW70" s="671"/>
      <c r="AX70" s="671"/>
      <c r="AY70" s="287"/>
      <c r="AZ70" s="287"/>
      <c r="BA70" s="671"/>
      <c r="BB70" s="671"/>
      <c r="BC70" s="671"/>
      <c r="BD70" s="671"/>
      <c r="BE70" s="671"/>
      <c r="BF70" s="671"/>
      <c r="BG70" s="671"/>
      <c r="BH70" s="287"/>
      <c r="BI70" s="287"/>
      <c r="BJ70" s="671"/>
      <c r="BK70" s="671"/>
      <c r="BL70" s="671"/>
      <c r="BM70" s="671"/>
      <c r="BN70" s="671"/>
      <c r="BO70" s="671"/>
      <c r="BP70" s="671"/>
      <c r="BQ70" s="287"/>
      <c r="BR70" s="287"/>
      <c r="BS70" s="287"/>
      <c r="BT70" s="287"/>
      <c r="BU70" s="287"/>
      <c r="BV70" s="287"/>
      <c r="BW70" s="287"/>
      <c r="BX70" s="287"/>
      <c r="BY70" s="287"/>
      <c r="BZ70" s="287"/>
      <c r="CA70" s="287"/>
      <c r="CB70" s="287"/>
      <c r="CC70" s="287"/>
      <c r="CD70" s="287"/>
      <c r="CE70" s="287"/>
    </row>
    <row r="71" spans="1:152" s="21" customFormat="1" ht="24.75" customHeight="1" thickBot="1" x14ac:dyDescent="0.3">
      <c r="A71" s="205"/>
      <c r="B71" s="180" t="str">
        <f>"Total Graduates " &amp;D4</f>
        <v>Total Graduates 2022</v>
      </c>
      <c r="C71" s="181"/>
      <c r="D71" s="181"/>
      <c r="E71" s="182" t="str">
        <f>IF(OR(E59=0,E64="",E69=""),"",(E59-(SUM(E64,E69))))</f>
        <v/>
      </c>
      <c r="F71" s="182" t="str">
        <f t="shared" ref="F71:M71" si="3">IF(OR(F59=0,F64="",F69=""),"",(F59-(SUM(F64,F69))))</f>
        <v/>
      </c>
      <c r="G71" s="182" t="str">
        <f t="shared" si="3"/>
        <v/>
      </c>
      <c r="H71" s="182" t="str">
        <f t="shared" si="3"/>
        <v/>
      </c>
      <c r="I71" s="182" t="str">
        <f t="shared" si="3"/>
        <v/>
      </c>
      <c r="J71" s="182" t="str">
        <f t="shared" si="3"/>
        <v/>
      </c>
      <c r="K71" s="182" t="str">
        <f t="shared" si="3"/>
        <v/>
      </c>
      <c r="L71" s="182" t="str">
        <f t="shared" si="3"/>
        <v/>
      </c>
      <c r="M71" s="182" t="str">
        <f t="shared" si="3"/>
        <v/>
      </c>
      <c r="N71" s="182" t="str">
        <f>IF(COUNT(E71:M71),SUM(E71:M71),"")</f>
        <v/>
      </c>
      <c r="P71" s="3"/>
      <c r="Q71" s="446"/>
      <c r="R71" s="770"/>
      <c r="S71" s="770"/>
      <c r="T71" s="770"/>
      <c r="U71" s="770"/>
      <c r="V71" s="770"/>
      <c r="W71" s="770"/>
      <c r="X71" s="770"/>
      <c r="Y71" s="770"/>
      <c r="Z71" s="770"/>
      <c r="AA71" s="448"/>
      <c r="AB71" s="448"/>
      <c r="AC71" s="448"/>
      <c r="AD71" s="448"/>
      <c r="AE71" s="448"/>
      <c r="AF71" s="448"/>
      <c r="AG71" s="424"/>
      <c r="AH71" s="287"/>
      <c r="AI71" s="671"/>
      <c r="AJ71" s="671"/>
      <c r="AK71" s="671"/>
      <c r="AL71" s="671"/>
      <c r="AM71" s="671"/>
      <c r="AN71" s="671"/>
      <c r="AO71" s="671"/>
      <c r="AP71" s="424"/>
      <c r="AQ71" s="287"/>
      <c r="AR71" s="671"/>
      <c r="AS71" s="671"/>
      <c r="AT71" s="671"/>
      <c r="AU71" s="671"/>
      <c r="AV71" s="671"/>
      <c r="AW71" s="671"/>
      <c r="AX71" s="671"/>
      <c r="AY71" s="424" t="str">
        <f>IF(AY72=1,"&lt;===", "")</f>
        <v/>
      </c>
      <c r="AZ71" s="287"/>
      <c r="BA71" s="671"/>
      <c r="BB71" s="671"/>
      <c r="BC71" s="671"/>
      <c r="BD71" s="671"/>
      <c r="BE71" s="671"/>
      <c r="BF71" s="671"/>
      <c r="BG71" s="671"/>
      <c r="BH71" s="424"/>
      <c r="BI71" s="287"/>
      <c r="BJ71" s="671"/>
      <c r="BK71" s="671"/>
      <c r="BL71" s="671"/>
      <c r="BM71" s="671"/>
      <c r="BN71" s="671"/>
      <c r="BO71" s="671"/>
      <c r="BP71" s="671"/>
      <c r="BQ71" s="496"/>
      <c r="BR71" s="287"/>
      <c r="BS71" s="287"/>
      <c r="BT71" s="287"/>
      <c r="BU71" s="287"/>
      <c r="BV71" s="287"/>
      <c r="BW71" s="287"/>
      <c r="BX71" s="287"/>
      <c r="BY71" s="287"/>
      <c r="BZ71" s="287"/>
      <c r="CA71" s="287"/>
      <c r="CB71" s="287"/>
      <c r="CC71" s="287"/>
      <c r="CD71" s="287"/>
      <c r="CE71" s="287"/>
    </row>
    <row r="72" spans="1:152" s="23" customFormat="1" ht="21.95" customHeight="1" thickTop="1" x14ac:dyDescent="0.25">
      <c r="A72" s="205"/>
      <c r="B72" s="781" t="s">
        <v>43</v>
      </c>
      <c r="C72" s="782"/>
      <c r="D72" s="26"/>
      <c r="E72" s="185" t="str">
        <f>IF(AND(E64="",E69=""),"",IFERROR(SUM(E61,E62,E63,E66,E67,E68)/E59,""))</f>
        <v/>
      </c>
      <c r="F72" s="185" t="str">
        <f t="shared" ref="F72:M72" si="4">IF(AND(F64="",F69=""),"",IFERROR(SUM(F61,F62,F63,F66,F67,F68)/F59,""))</f>
        <v/>
      </c>
      <c r="G72" s="185" t="str">
        <f t="shared" si="4"/>
        <v/>
      </c>
      <c r="H72" s="185" t="str">
        <f t="shared" si="4"/>
        <v/>
      </c>
      <c r="I72" s="185" t="str">
        <f t="shared" si="4"/>
        <v/>
      </c>
      <c r="J72" s="185" t="str">
        <f t="shared" si="4"/>
        <v/>
      </c>
      <c r="K72" s="185" t="str">
        <f t="shared" si="4"/>
        <v/>
      </c>
      <c r="L72" s="185" t="str">
        <f t="shared" si="4"/>
        <v/>
      </c>
      <c r="M72" s="273" t="str">
        <f t="shared" si="4"/>
        <v/>
      </c>
      <c r="N72" s="186" t="str">
        <f>IF(N71&lt;&gt;"",1-N73,IF(N73=0,"",""))</f>
        <v/>
      </c>
      <c r="O72" s="240"/>
      <c r="P72" s="224"/>
      <c r="Q72" s="446"/>
      <c r="R72" s="770"/>
      <c r="S72" s="770"/>
      <c r="T72" s="770"/>
      <c r="U72" s="770"/>
      <c r="V72" s="770"/>
      <c r="W72" s="770"/>
      <c r="X72" s="770"/>
      <c r="Y72" s="770"/>
      <c r="Z72" s="770"/>
      <c r="AA72" s="448"/>
      <c r="AB72" s="448"/>
      <c r="AC72" s="448"/>
      <c r="AD72" s="448"/>
      <c r="AE72" s="448"/>
      <c r="AF72" s="448"/>
      <c r="AG72" s="267"/>
      <c r="AH72" s="287"/>
      <c r="AI72" s="671"/>
      <c r="AJ72" s="671"/>
      <c r="AK72" s="671"/>
      <c r="AL72" s="671"/>
      <c r="AM72" s="671"/>
      <c r="AN72" s="671"/>
      <c r="AO72" s="671"/>
      <c r="AP72" s="267"/>
      <c r="AQ72" s="287"/>
      <c r="AR72" s="671"/>
      <c r="AS72" s="671"/>
      <c r="AT72" s="671"/>
      <c r="AU72" s="671"/>
      <c r="AV72" s="671"/>
      <c r="AW72" s="671"/>
      <c r="AX72" s="671"/>
      <c r="AY72" s="267" t="str">
        <f>IF(AND(P54&lt;&gt;"", AR65&lt;&gt;"",AR65&lt;&gt;"          Proceed to the next question to the right ==&gt;",AR67="",D432&lt;&gt;""),1,"")</f>
        <v/>
      </c>
      <c r="AZ72" s="287"/>
      <c r="BA72" s="671"/>
      <c r="BB72" s="671"/>
      <c r="BC72" s="671"/>
      <c r="BD72" s="671"/>
      <c r="BE72" s="671"/>
      <c r="BF72" s="671"/>
      <c r="BG72" s="671"/>
      <c r="BH72" s="267"/>
      <c r="BI72" s="287"/>
      <c r="BJ72" s="671"/>
      <c r="BK72" s="671"/>
      <c r="BL72" s="671"/>
      <c r="BM72" s="671"/>
      <c r="BN72" s="671"/>
      <c r="BO72" s="671"/>
      <c r="BP72" s="671"/>
      <c r="BQ72" s="267"/>
      <c r="BR72" s="287"/>
      <c r="BS72" s="287"/>
      <c r="BT72" s="287"/>
      <c r="BU72" s="287"/>
      <c r="BV72" s="287"/>
      <c r="BW72" s="287"/>
      <c r="BX72" s="287"/>
      <c r="BY72" s="287"/>
      <c r="BZ72" s="287"/>
      <c r="CA72" s="287"/>
      <c r="CB72" s="287"/>
      <c r="CC72" s="287"/>
      <c r="CD72" s="287"/>
      <c r="CE72" s="287"/>
    </row>
    <row r="73" spans="1:152" s="23" customFormat="1" ht="26.25" customHeight="1" x14ac:dyDescent="0.25">
      <c r="A73" s="205"/>
      <c r="B73" s="783" t="s">
        <v>44</v>
      </c>
      <c r="C73" s="784"/>
      <c r="D73" s="785"/>
      <c r="E73" s="187" t="str">
        <f>IF(E71&lt;&gt;"",1-E72,IF(E72=0,"",""))</f>
        <v/>
      </c>
      <c r="F73" s="187" t="str">
        <f>IF(F71&lt;&gt;"",1-F72,IF(F72=0,"",""))</f>
        <v/>
      </c>
      <c r="G73" s="187" t="str">
        <f>IF(G71&lt;&gt;"",1-G72,IF(G72=0,"",""))</f>
        <v/>
      </c>
      <c r="H73" s="187" t="str">
        <f t="shared" ref="H73:M73" si="5">IF(H71&lt;&gt;"",1-H72,IF(H72=0,"",""))</f>
        <v/>
      </c>
      <c r="I73" s="187" t="str">
        <f t="shared" si="5"/>
        <v/>
      </c>
      <c r="J73" s="187" t="str">
        <f t="shared" si="5"/>
        <v/>
      </c>
      <c r="K73" s="187" t="str">
        <f t="shared" si="5"/>
        <v/>
      </c>
      <c r="L73" s="187" t="str">
        <f t="shared" si="5"/>
        <v/>
      </c>
      <c r="M73" s="188" t="str">
        <f t="shared" si="5"/>
        <v/>
      </c>
      <c r="N73" s="189">
        <f>IF(AND(N59&lt;&gt;"",N64&lt;&gt;"",N69&lt;&gt;""),N71/N59,0)</f>
        <v>0</v>
      </c>
      <c r="O73" s="221"/>
      <c r="P73" s="222"/>
      <c r="Q73" s="446"/>
      <c r="R73" s="770"/>
      <c r="S73" s="770"/>
      <c r="T73" s="770"/>
      <c r="U73" s="770"/>
      <c r="V73" s="770"/>
      <c r="W73" s="770"/>
      <c r="X73" s="770"/>
      <c r="Y73" s="770"/>
      <c r="Z73" s="770"/>
      <c r="AA73" s="448"/>
      <c r="AB73" s="448"/>
      <c r="AC73" s="448"/>
      <c r="AD73" s="448"/>
      <c r="AE73" s="448"/>
      <c r="AF73" s="448"/>
      <c r="AG73" s="287"/>
      <c r="AH73" s="287"/>
      <c r="AI73" s="671"/>
      <c r="AJ73" s="671"/>
      <c r="AK73" s="671"/>
      <c r="AL73" s="671"/>
      <c r="AM73" s="671"/>
      <c r="AN73" s="671"/>
      <c r="AO73" s="671"/>
      <c r="AP73" s="287"/>
      <c r="AQ73" s="287"/>
      <c r="AR73" s="671"/>
      <c r="AS73" s="671"/>
      <c r="AT73" s="671"/>
      <c r="AU73" s="671"/>
      <c r="AV73" s="671"/>
      <c r="AW73" s="671"/>
      <c r="AX73" s="671"/>
      <c r="AY73" s="287"/>
      <c r="AZ73" s="287"/>
      <c r="BA73" s="671"/>
      <c r="BB73" s="671"/>
      <c r="BC73" s="671"/>
      <c r="BD73" s="671"/>
      <c r="BE73" s="671"/>
      <c r="BF73" s="671"/>
      <c r="BG73" s="671"/>
      <c r="BH73" s="287"/>
      <c r="BI73" s="287"/>
      <c r="BJ73" s="671"/>
      <c r="BK73" s="671"/>
      <c r="BL73" s="671"/>
      <c r="BM73" s="671"/>
      <c r="BN73" s="671"/>
      <c r="BO73" s="671"/>
      <c r="BP73" s="671"/>
      <c r="BQ73" s="287"/>
      <c r="BR73" s="287"/>
      <c r="BS73" s="287"/>
      <c r="BT73" s="287"/>
      <c r="BU73" s="287"/>
      <c r="BV73" s="287"/>
      <c r="BW73" s="287"/>
      <c r="BX73" s="287"/>
      <c r="BY73" s="287"/>
      <c r="BZ73" s="287"/>
      <c r="CA73" s="287"/>
      <c r="CB73" s="287"/>
      <c r="CC73" s="287"/>
      <c r="CD73" s="287"/>
      <c r="CE73" s="287"/>
    </row>
    <row r="74" spans="1:152" s="23" customFormat="1" ht="55.5" customHeight="1" x14ac:dyDescent="0.25">
      <c r="A74" s="205"/>
      <c r="B74" s="592" t="str">
        <f>IF(AND(N73&lt;0.7,B75="",N59&lt;&gt;"",N72&lt;&gt;0,'2022 Satellite(s)'!B82=""),"The outcome threshold of 70% has not been met.  
Completion of the analysis and action plan boxes to the right are required ==&gt;",IF(AND(N59&lt;&gt;"",B75="",N73&gt;=0.7,N72&lt;100%,'2022 Satellite(s)'!B82=""),"The outcome threshold of 70% has been met.  
Please complete the next table below.",""))</f>
        <v/>
      </c>
      <c r="C74" s="593"/>
      <c r="D74" s="593"/>
      <c r="E74" s="593"/>
      <c r="F74" s="593"/>
      <c r="G74" s="593"/>
      <c r="H74" s="593"/>
      <c r="I74" s="593"/>
      <c r="J74" s="593"/>
      <c r="K74" s="593"/>
      <c r="L74" s="593"/>
      <c r="M74" s="593"/>
      <c r="N74" s="594"/>
      <c r="P74" s="3"/>
      <c r="Q74" s="446"/>
      <c r="R74" s="770"/>
      <c r="S74" s="770"/>
      <c r="T74" s="770"/>
      <c r="U74" s="770"/>
      <c r="V74" s="770"/>
      <c r="W74" s="770"/>
      <c r="X74" s="770"/>
      <c r="Y74" s="770"/>
      <c r="Z74" s="770"/>
      <c r="AA74" s="448"/>
      <c r="AB74" s="448"/>
      <c r="AC74" s="448"/>
      <c r="AD74" s="448"/>
      <c r="AE74" s="448"/>
      <c r="AF74" s="448"/>
      <c r="AG74" s="287"/>
      <c r="AH74" s="287"/>
      <c r="AI74" s="671"/>
      <c r="AJ74" s="671"/>
      <c r="AK74" s="671"/>
      <c r="AL74" s="671"/>
      <c r="AM74" s="671"/>
      <c r="AN74" s="671"/>
      <c r="AO74" s="671"/>
      <c r="AP74" s="287"/>
      <c r="AQ74" s="287"/>
      <c r="AR74" s="671"/>
      <c r="AS74" s="671"/>
      <c r="AT74" s="671"/>
      <c r="AU74" s="671"/>
      <c r="AV74" s="671"/>
      <c r="AW74" s="671"/>
      <c r="AX74" s="671"/>
      <c r="AY74" s="287"/>
      <c r="AZ74" s="287"/>
      <c r="BA74" s="671"/>
      <c r="BB74" s="671"/>
      <c r="BC74" s="671"/>
      <c r="BD74" s="671"/>
      <c r="BE74" s="671"/>
      <c r="BF74" s="671"/>
      <c r="BG74" s="671"/>
      <c r="BH74" s="287"/>
      <c r="BI74" s="287"/>
      <c r="BJ74" s="671"/>
      <c r="BK74" s="671"/>
      <c r="BL74" s="671"/>
      <c r="BM74" s="671"/>
      <c r="BN74" s="671"/>
      <c r="BO74" s="671"/>
      <c r="BP74" s="671"/>
      <c r="BQ74" s="287"/>
      <c r="BR74" s="287"/>
      <c r="BS74" s="287"/>
      <c r="BT74" s="287"/>
      <c r="BU74" s="287"/>
      <c r="BV74" s="287"/>
      <c r="BW74" s="287"/>
      <c r="BX74" s="287"/>
      <c r="BY74" s="287"/>
      <c r="BZ74" s="287"/>
      <c r="CA74" s="287"/>
      <c r="CB74" s="287"/>
      <c r="CC74" s="287"/>
      <c r="CD74" s="287"/>
      <c r="CE74" s="287"/>
    </row>
    <row r="75" spans="1:152" s="43" customFormat="1" ht="51.75" customHeight="1" x14ac:dyDescent="0.25">
      <c r="A75" s="205"/>
      <c r="B75" s="774" t="str">
        <f>IF(OR(AND(D4&lt;&gt;YEAR(E58),E58&lt;&gt;0),AND(D4&lt;&gt;YEAR(F58),F58&lt;&gt;0),AND(D4&lt;&gt;YEAR(G58),G58&lt;&gt;0),AND(D4&lt;&gt;YEAR(H58),H58&lt;&gt;0),AND(D4&lt;&gt;YEAR(I58),I58&lt;&gt;0),AND(D4&lt;&gt;YEAR(J58),J58&lt;&gt;0),AND(D4&lt;&gt;YEAR(K58),K58&lt;&gt;0),AND(D4&lt;&gt;YEAR(L58),L58&lt;&gt;0),AND(D4&lt;&gt;YEAR(M58),M58&lt;&gt;0)),"Error has occurred; Remove cohorts that do not graduate in the current year.",IF(OR(AND(E72&gt;100%,E71&lt;&gt;""),AND(F72&gt;100%,F71&lt;&gt;""),AND(G72&gt;100%,G71&lt;&gt;""),AND(H72&gt;100%,H71&lt;&gt;""),AND(I72&gt;100%,I71&lt;&gt;""),AND(J72&gt;100%,J71&lt;&gt;""),AND(K72&gt;100%,K71&lt;&gt;""),AND(L72&gt;100%,L71&lt;&gt;""),AND(M72&gt;100%,M71&lt;&gt;"")),"Error has occurred; Total number of graduates cannot be greater than the total number of students in the cohort",IF(OR(AND(E59&lt;&gt;"",E71="",E73=""),AND(F59&lt;&gt;"",F71="",F73=""),AND(G59&lt;&gt;"",G71="",G73=""),AND(H59&lt;&gt;"",H71="",H73=""),AND(I59&lt;&gt;"",I71="",I73=""),AND(J59&lt;&gt;"",J71="",J73=""),AND(K59&lt;&gt;"",K71="",K73=""),AND(L59&lt;&gt;"",L71="",L73=""),AND(M59&lt;&gt;"",M71="",M73="")),"Please Note: An empty or blank cell is not the same as a zero.",IF('2022 Satellite(s)'!B82&lt;&gt;"","Error has occurred; See Satellite(s) tab.",""))))</f>
        <v/>
      </c>
      <c r="C75" s="774"/>
      <c r="D75" s="774"/>
      <c r="E75" s="774"/>
      <c r="F75" s="774"/>
      <c r="G75" s="774"/>
      <c r="H75" s="774"/>
      <c r="I75" s="774"/>
      <c r="J75" s="774"/>
      <c r="K75" s="774"/>
      <c r="L75" s="774"/>
      <c r="M75" s="774"/>
      <c r="N75" s="774"/>
      <c r="P75" s="3"/>
      <c r="Q75" s="446"/>
      <c r="R75" s="770"/>
      <c r="S75" s="770"/>
      <c r="T75" s="770"/>
      <c r="U75" s="770"/>
      <c r="V75" s="770"/>
      <c r="W75" s="770"/>
      <c r="X75" s="770"/>
      <c r="Y75" s="770"/>
      <c r="Z75" s="770"/>
      <c r="AA75" s="448"/>
      <c r="AB75" s="448"/>
      <c r="AC75" s="448"/>
      <c r="AD75" s="448"/>
      <c r="AE75" s="448"/>
      <c r="AF75" s="448"/>
      <c r="AG75" s="287"/>
      <c r="AH75" s="287"/>
      <c r="AI75" s="671"/>
      <c r="AJ75" s="671"/>
      <c r="AK75" s="671"/>
      <c r="AL75" s="671"/>
      <c r="AM75" s="671"/>
      <c r="AN75" s="671"/>
      <c r="AO75" s="671"/>
      <c r="AP75" s="287"/>
      <c r="AQ75" s="287"/>
      <c r="AR75" s="671"/>
      <c r="AS75" s="671"/>
      <c r="AT75" s="671"/>
      <c r="AU75" s="671"/>
      <c r="AV75" s="671"/>
      <c r="AW75" s="671"/>
      <c r="AX75" s="671"/>
      <c r="AY75" s="287"/>
      <c r="AZ75" s="287"/>
      <c r="BA75" s="671"/>
      <c r="BB75" s="671"/>
      <c r="BC75" s="671"/>
      <c r="BD75" s="671"/>
      <c r="BE75" s="671"/>
      <c r="BF75" s="671"/>
      <c r="BG75" s="671"/>
      <c r="BH75" s="287"/>
      <c r="BI75" s="287"/>
      <c r="BJ75" s="671"/>
      <c r="BK75" s="671"/>
      <c r="BL75" s="671"/>
      <c r="BM75" s="671"/>
      <c r="BN75" s="671"/>
      <c r="BO75" s="671"/>
      <c r="BP75" s="671"/>
      <c r="BQ75" s="287"/>
      <c r="BR75" s="287"/>
      <c r="BS75" s="287"/>
      <c r="BT75" s="287"/>
      <c r="BU75" s="287"/>
      <c r="BV75" s="287"/>
      <c r="BW75" s="287"/>
      <c r="BX75" s="287"/>
      <c r="BY75" s="287"/>
      <c r="BZ75" s="287"/>
      <c r="CA75" s="287"/>
      <c r="CB75" s="287"/>
      <c r="CC75" s="287"/>
      <c r="CD75" s="287"/>
      <c r="CE75" s="287"/>
    </row>
    <row r="76" spans="1:152" s="21" customFormat="1" ht="114.75" customHeight="1" x14ac:dyDescent="0.25">
      <c r="A76" s="205"/>
      <c r="B76" s="600" t="s">
        <v>135</v>
      </c>
      <c r="C76" s="601"/>
      <c r="D76" s="601"/>
      <c r="E76" s="601"/>
      <c r="F76" s="601"/>
      <c r="G76" s="601"/>
      <c r="H76" s="601"/>
      <c r="I76" s="601"/>
      <c r="J76" s="601"/>
      <c r="K76" s="601"/>
      <c r="L76" s="601"/>
      <c r="M76" s="601"/>
      <c r="N76" s="602"/>
      <c r="O76" s="96"/>
      <c r="P76" s="3"/>
      <c r="Q76" s="446"/>
      <c r="R76" s="770"/>
      <c r="S76" s="770"/>
      <c r="T76" s="770"/>
      <c r="U76" s="770"/>
      <c r="V76" s="770"/>
      <c r="W76" s="770"/>
      <c r="X76" s="770"/>
      <c r="Y76" s="770"/>
      <c r="Z76" s="770"/>
      <c r="AA76" s="448"/>
      <c r="AB76" s="448"/>
      <c r="AC76" s="448"/>
      <c r="AD76" s="448"/>
      <c r="AE76" s="448"/>
      <c r="AF76" s="448"/>
      <c r="AG76" s="287"/>
      <c r="AH76" s="287"/>
      <c r="AI76" s="671"/>
      <c r="AJ76" s="671"/>
      <c r="AK76" s="671"/>
      <c r="AL76" s="671"/>
      <c r="AM76" s="671"/>
      <c r="AN76" s="671"/>
      <c r="AO76" s="671"/>
      <c r="AP76" s="287"/>
      <c r="AQ76" s="287"/>
      <c r="AR76" s="671"/>
      <c r="AS76" s="671"/>
      <c r="AT76" s="671"/>
      <c r="AU76" s="671"/>
      <c r="AV76" s="671"/>
      <c r="AW76" s="671"/>
      <c r="AX76" s="671"/>
      <c r="AY76" s="287"/>
      <c r="AZ76" s="287"/>
      <c r="BA76" s="671"/>
      <c r="BB76" s="671"/>
      <c r="BC76" s="671"/>
      <c r="BD76" s="671"/>
      <c r="BE76" s="671"/>
      <c r="BF76" s="671"/>
      <c r="BG76" s="671"/>
      <c r="BH76" s="287"/>
      <c r="BI76" s="287"/>
      <c r="BJ76" s="671"/>
      <c r="BK76" s="671"/>
      <c r="BL76" s="671"/>
      <c r="BM76" s="671"/>
      <c r="BN76" s="671"/>
      <c r="BO76" s="671"/>
      <c r="BP76" s="671"/>
      <c r="BQ76" s="287"/>
      <c r="BR76" s="287"/>
      <c r="BS76" s="287"/>
      <c r="BT76" s="287"/>
      <c r="BU76" s="287"/>
      <c r="BV76" s="287"/>
      <c r="BW76" s="287"/>
      <c r="BX76" s="287"/>
      <c r="BY76" s="287"/>
      <c r="BZ76" s="287"/>
      <c r="CA76" s="287"/>
      <c r="CB76" s="287"/>
      <c r="CC76" s="287"/>
      <c r="CD76" s="287"/>
      <c r="CE76" s="287"/>
    </row>
    <row r="77" spans="1:152" s="202" customFormat="1" x14ac:dyDescent="0.25">
      <c r="A77" s="13"/>
      <c r="P77" s="3"/>
      <c r="BJ77" s="287"/>
      <c r="BK77" s="287"/>
      <c r="BL77" s="287"/>
      <c r="BM77" s="287"/>
      <c r="BN77" s="287"/>
      <c r="BO77" s="287"/>
      <c r="BP77" s="287"/>
      <c r="BQ77" s="287"/>
      <c r="BR77" s="287"/>
      <c r="BS77" s="287"/>
      <c r="BT77" s="287"/>
      <c r="BU77" s="287"/>
      <c r="BV77" s="287"/>
      <c r="BW77" s="287"/>
      <c r="BX77" s="287"/>
      <c r="BY77" s="287"/>
      <c r="BZ77" s="287"/>
    </row>
    <row r="78" spans="1:152" s="21" customFormat="1" x14ac:dyDescent="0.25">
      <c r="A78" s="205"/>
      <c r="P78" s="3"/>
      <c r="BJ78" s="287"/>
      <c r="BK78" s="287"/>
      <c r="BL78" s="287"/>
      <c r="BM78" s="287"/>
      <c r="BN78" s="287"/>
      <c r="BO78" s="287"/>
      <c r="BP78" s="287"/>
      <c r="BQ78" s="287"/>
      <c r="BR78" s="287"/>
      <c r="BS78" s="287"/>
      <c r="BT78" s="287"/>
      <c r="BU78" s="287"/>
      <c r="BV78" s="287"/>
      <c r="BW78" s="287"/>
      <c r="BX78" s="287"/>
      <c r="BY78" s="287"/>
      <c r="BZ78" s="287"/>
    </row>
    <row r="79" spans="1:152" s="23" customFormat="1" ht="24" customHeight="1" x14ac:dyDescent="0.25">
      <c r="A79" s="205"/>
      <c r="C79" s="219">
        <f>$D$16</f>
        <v>0</v>
      </c>
      <c r="D79" s="678">
        <f>$D$18</f>
        <v>0</v>
      </c>
      <c r="E79" s="678"/>
      <c r="F79" s="678"/>
      <c r="G79" s="678"/>
      <c r="H79" s="678"/>
      <c r="I79" s="678"/>
      <c r="J79" s="678"/>
      <c r="K79" s="678"/>
      <c r="P79" s="3"/>
      <c r="Q79" s="432"/>
      <c r="R79" s="432"/>
      <c r="S79" s="432"/>
      <c r="T79" s="432"/>
      <c r="U79" s="432"/>
      <c r="V79" s="432"/>
      <c r="W79" s="432"/>
      <c r="X79" s="432"/>
      <c r="Y79" s="432"/>
      <c r="Z79" s="432"/>
      <c r="AA79" s="432"/>
      <c r="AB79" s="432"/>
      <c r="AC79" s="246"/>
      <c r="AD79" s="246"/>
      <c r="AE79" s="246"/>
      <c r="AF79" s="246"/>
      <c r="AG79" s="246"/>
      <c r="AH79" s="246"/>
      <c r="AI79" s="432"/>
      <c r="AJ79" s="432"/>
      <c r="AK79" s="432"/>
      <c r="AL79" s="432"/>
      <c r="AM79" s="432"/>
      <c r="AN79" s="432"/>
      <c r="AO79" s="432"/>
      <c r="AP79" s="432"/>
      <c r="AQ79" s="432"/>
      <c r="AR79" s="432"/>
      <c r="AS79" s="432"/>
      <c r="AT79" s="432"/>
      <c r="AU79" s="246"/>
      <c r="AV79" s="246"/>
      <c r="AW79" s="246"/>
      <c r="AX79" s="246"/>
      <c r="AY79" s="246"/>
      <c r="AZ79" s="246"/>
      <c r="BA79" s="423"/>
      <c r="BB79" s="423"/>
      <c r="BC79" s="423"/>
      <c r="BD79" s="423"/>
      <c r="BE79" s="423"/>
      <c r="BF79" s="423"/>
      <c r="BG79" s="423"/>
      <c r="BH79" s="423"/>
      <c r="BI79" s="423"/>
      <c r="BJ79" s="498"/>
      <c r="BK79" s="498"/>
      <c r="BL79" s="498"/>
      <c r="BM79" s="287"/>
      <c r="BN79" s="287"/>
      <c r="BO79" s="287"/>
      <c r="BP79" s="287"/>
      <c r="BQ79" s="287"/>
      <c r="BR79" s="287"/>
      <c r="BS79" s="287"/>
      <c r="BT79" s="613"/>
      <c r="BU79" s="613"/>
      <c r="BV79" s="612"/>
      <c r="BW79" s="612"/>
      <c r="BX79" s="612"/>
      <c r="BY79" s="612"/>
      <c r="BZ79" s="612"/>
      <c r="CA79" s="426"/>
      <c r="CB79" s="426"/>
      <c r="CC79" s="426"/>
      <c r="CD79" s="426"/>
      <c r="CE79" s="426"/>
      <c r="CF79" s="200"/>
      <c r="CG79" s="246"/>
      <c r="CH79" s="246"/>
      <c r="CI79" s="246"/>
      <c r="CJ79" s="246"/>
      <c r="CK79" s="246"/>
      <c r="CL79" s="246"/>
      <c r="CM79" s="246"/>
      <c r="CN79" s="246"/>
      <c r="CO79" s="246"/>
      <c r="CP79" s="246"/>
      <c r="CQ79" s="246"/>
      <c r="CR79" s="246"/>
      <c r="CS79" s="246"/>
      <c r="CT79" s="246"/>
      <c r="CU79" s="246"/>
      <c r="CV79" s="246"/>
      <c r="CW79" s="246"/>
      <c r="CX79" s="246"/>
      <c r="CY79" s="246"/>
      <c r="CZ79" s="246"/>
      <c r="DA79" s="246"/>
      <c r="DB79" s="246"/>
      <c r="DC79" s="246"/>
      <c r="DD79" s="246"/>
      <c r="DE79" s="246"/>
      <c r="DF79" s="246"/>
      <c r="DG79" s="246"/>
      <c r="DH79" s="246"/>
      <c r="DI79" s="246"/>
      <c r="DJ79" s="246"/>
      <c r="DK79" s="246"/>
      <c r="DL79" s="246"/>
      <c r="DM79" s="246"/>
      <c r="DN79" s="246"/>
      <c r="DO79" s="246"/>
      <c r="DP79" s="246"/>
      <c r="DQ79" s="246"/>
      <c r="DR79" s="246"/>
      <c r="DS79" s="246"/>
      <c r="DT79" s="246"/>
      <c r="DU79" s="246"/>
      <c r="DV79" s="246"/>
      <c r="DW79" s="246"/>
      <c r="DX79" s="246"/>
      <c r="DY79" s="246"/>
      <c r="DZ79" s="246"/>
      <c r="EA79" s="246"/>
      <c r="EB79" s="246"/>
      <c r="EC79" s="246"/>
      <c r="ED79" s="246"/>
      <c r="EE79" s="246"/>
      <c r="EF79" s="246"/>
      <c r="EG79" s="246"/>
      <c r="EH79" s="246"/>
      <c r="EI79" s="246"/>
      <c r="EJ79" s="246"/>
      <c r="EK79" s="246"/>
      <c r="EL79" s="246"/>
      <c r="EM79" s="246"/>
      <c r="EN79" s="246"/>
      <c r="EO79" s="246"/>
      <c r="EP79" s="246"/>
      <c r="EQ79" s="246"/>
      <c r="ER79" s="246"/>
      <c r="ES79" s="246"/>
      <c r="ET79" s="246"/>
      <c r="EU79" s="246"/>
      <c r="EV79" s="246"/>
    </row>
    <row r="80" spans="1:152" s="251" customFormat="1" x14ac:dyDescent="0.25">
      <c r="A80" s="13"/>
      <c r="E80" s="159"/>
      <c r="J80" s="252"/>
      <c r="K80" s="252"/>
      <c r="P80" s="673" t="str">
        <f>IF(P83&lt;&gt;"",$D$16,"")</f>
        <v/>
      </c>
      <c r="Q80" s="673"/>
      <c r="R80" s="643" t="str">
        <f>IF(P83&lt;&gt;"",$D$18,"")</f>
        <v/>
      </c>
      <c r="S80" s="643"/>
      <c r="T80" s="643"/>
      <c r="U80" s="643"/>
      <c r="V80" s="643"/>
      <c r="W80" s="643"/>
      <c r="X80" s="643"/>
      <c r="Y80" s="643"/>
      <c r="Z80" s="643"/>
      <c r="AA80" s="643"/>
      <c r="AK80" s="432"/>
      <c r="AL80" s="432"/>
      <c r="AM80" s="432"/>
      <c r="AN80" s="432"/>
      <c r="AO80" s="432"/>
      <c r="BD80" s="423"/>
      <c r="BE80" s="423"/>
      <c r="BF80" s="423"/>
      <c r="BG80" s="423"/>
      <c r="BH80" s="423"/>
      <c r="BJ80" s="287"/>
      <c r="BK80" s="287"/>
      <c r="BL80" s="499"/>
      <c r="BM80" s="287"/>
      <c r="BN80" s="287"/>
      <c r="BO80" s="287"/>
      <c r="BP80" s="287"/>
      <c r="BQ80" s="287"/>
      <c r="BR80" s="287"/>
      <c r="BS80" s="287"/>
      <c r="BT80" s="287"/>
      <c r="BU80" s="287"/>
      <c r="BV80" s="287"/>
      <c r="BW80" s="287"/>
      <c r="BX80" s="287"/>
      <c r="BY80" s="287"/>
      <c r="BZ80" s="287"/>
      <c r="CA80" s="426"/>
      <c r="CB80" s="426"/>
      <c r="CC80" s="426"/>
      <c r="CD80" s="426"/>
      <c r="CE80" s="426"/>
    </row>
    <row r="81" spans="1:138" s="23" customFormat="1" ht="42.75" customHeight="1" x14ac:dyDescent="0.25">
      <c r="A81" s="205"/>
      <c r="B81" s="676" t="str">
        <f>IF(OR(G37="Yes",G46="Yes"),"Are results being reported for both the National Registry &amp; State Written Examinations?","")</f>
        <v/>
      </c>
      <c r="C81" s="676"/>
      <c r="D81" s="676"/>
      <c r="E81" s="676"/>
      <c r="F81" s="676"/>
      <c r="G81" s="677" t="s">
        <v>23</v>
      </c>
      <c r="H81" s="677"/>
      <c r="I81" s="113"/>
      <c r="J81" s="233"/>
      <c r="K81" s="113"/>
      <c r="O81" s="563" t="str">
        <f>IF(P81=1,"&lt;===", "")</f>
        <v/>
      </c>
      <c r="P81" s="490" t="str">
        <f>IF(AND(G37="Yes",G81="Please Select", D432&lt;&gt;""), 1, "")</f>
        <v/>
      </c>
      <c r="Q81" s="427"/>
      <c r="R81" s="452" t="str">
        <f>IF(P83&lt;&gt;"","Written Examination","")</f>
        <v/>
      </c>
      <c r="S81" s="432"/>
      <c r="T81" s="432"/>
      <c r="U81" s="569" t="str">
        <f>IF(P83&lt;&gt;"","          Link to Available Resource Document      (optional)
CoAEMSP website =&gt; Resource Library =&gt; Instruments &amp; Forms","")</f>
        <v/>
      </c>
      <c r="V81" s="569"/>
      <c r="W81" s="569"/>
      <c r="X81" s="569"/>
      <c r="Y81" s="569"/>
      <c r="Z81" s="569"/>
      <c r="AA81" s="246"/>
      <c r="AB81" s="246"/>
      <c r="AC81" s="246"/>
      <c r="AD81" s="246"/>
      <c r="AE81" s="246"/>
      <c r="AF81" s="246"/>
      <c r="AG81" s="246"/>
      <c r="AH81" s="246"/>
      <c r="AI81" s="246"/>
      <c r="AJ81" s="246"/>
      <c r="AK81" s="432"/>
      <c r="AL81" s="432"/>
      <c r="AM81" s="432"/>
      <c r="AN81" s="432"/>
      <c r="AO81" s="432"/>
      <c r="AP81" s="246"/>
      <c r="AQ81" s="246"/>
      <c r="AR81" s="246"/>
      <c r="AS81" s="246"/>
      <c r="AT81" s="246"/>
      <c r="AU81" s="246"/>
      <c r="AV81" s="246"/>
      <c r="AW81" s="246"/>
      <c r="AX81" s="246"/>
      <c r="AY81" s="246"/>
      <c r="AZ81" s="246"/>
      <c r="BA81" s="246"/>
      <c r="BB81" s="246"/>
      <c r="BC81" s="423"/>
      <c r="BD81" s="423"/>
      <c r="BE81" s="423"/>
      <c r="BF81" s="423"/>
      <c r="BG81" s="423"/>
      <c r="BH81" s="246"/>
      <c r="BI81" s="246"/>
      <c r="BJ81" s="287"/>
      <c r="BK81" s="287"/>
      <c r="BL81" s="287"/>
      <c r="BM81" s="287"/>
      <c r="BN81" s="287"/>
      <c r="BO81" s="287"/>
      <c r="BP81" s="287"/>
      <c r="BQ81" s="287"/>
      <c r="BR81" s="287"/>
      <c r="BS81" s="287"/>
      <c r="BT81" s="287"/>
      <c r="BU81" s="287"/>
      <c r="BV81" s="612"/>
      <c r="BW81" s="612"/>
      <c r="BX81" s="612"/>
      <c r="BY81" s="612"/>
      <c r="BZ81" s="612"/>
      <c r="CA81" s="426"/>
      <c r="CB81" s="426"/>
      <c r="CC81" s="426"/>
      <c r="CD81" s="426"/>
      <c r="CE81" s="426"/>
      <c r="CF81" s="246"/>
      <c r="CG81" s="503"/>
      <c r="CH81" s="503"/>
      <c r="CI81" s="503"/>
      <c r="CJ81" s="503"/>
      <c r="CK81" s="287"/>
      <c r="CL81" s="287"/>
      <c r="CM81" s="287"/>
      <c r="CN81" s="287"/>
      <c r="CO81" s="287"/>
      <c r="CP81" s="287"/>
      <c r="CQ81" s="287"/>
      <c r="CR81" s="287"/>
      <c r="CS81" s="287"/>
      <c r="CT81" s="287"/>
      <c r="CU81" s="287"/>
      <c r="CV81" s="287"/>
      <c r="CW81" s="287"/>
      <c r="CX81" s="287"/>
      <c r="CY81" s="287"/>
      <c r="CZ81" s="287"/>
      <c r="DA81" s="287"/>
      <c r="DB81" s="287"/>
      <c r="DC81" s="287"/>
      <c r="DD81" s="287"/>
      <c r="DE81" s="287"/>
    </row>
    <row r="82" spans="1:138" s="21" customFormat="1" ht="16.5" customHeight="1" x14ac:dyDescent="0.25">
      <c r="A82" s="205"/>
      <c r="B82" s="676"/>
      <c r="C82" s="676"/>
      <c r="D82" s="676"/>
      <c r="E82" s="676"/>
      <c r="F82" s="676"/>
      <c r="G82" s="677"/>
      <c r="H82" s="677"/>
      <c r="J82" s="113"/>
      <c r="P82" s="540"/>
      <c r="Q82" s="246"/>
      <c r="R82" s="246"/>
      <c r="S82" s="246"/>
      <c r="T82" s="246"/>
      <c r="U82" s="246"/>
      <c r="V82" s="652" t="str">
        <f>IF(P83&lt;&gt;"","Program Review &amp; Analysis","")</f>
        <v/>
      </c>
      <c r="W82" s="652"/>
      <c r="X82" s="652"/>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87"/>
      <c r="BK82" s="287"/>
      <c r="BL82" s="287"/>
      <c r="BM82" s="287"/>
      <c r="BN82" s="287"/>
      <c r="BO82" s="287"/>
      <c r="BP82" s="287"/>
      <c r="BQ82" s="287"/>
      <c r="BR82" s="287"/>
      <c r="BS82" s="287"/>
      <c r="BT82" s="287"/>
      <c r="BU82" s="287"/>
      <c r="BV82" s="287"/>
      <c r="BW82" s="287"/>
      <c r="BX82" s="287"/>
      <c r="BY82" s="287"/>
      <c r="BZ82" s="287"/>
      <c r="CA82" s="426"/>
      <c r="CB82" s="426"/>
      <c r="CC82" s="426"/>
      <c r="CD82" s="426"/>
      <c r="CE82" s="426"/>
      <c r="CF82" s="246"/>
      <c r="CG82" s="503"/>
      <c r="CH82" s="503"/>
      <c r="CI82" s="503"/>
      <c r="CJ82" s="503"/>
      <c r="CK82" s="287"/>
      <c r="CL82" s="287"/>
      <c r="CM82" s="287"/>
      <c r="CN82" s="287"/>
      <c r="CO82" s="287"/>
      <c r="CP82" s="287"/>
      <c r="CQ82" s="287"/>
      <c r="CR82" s="287"/>
      <c r="CS82" s="287"/>
      <c r="CT82" s="287"/>
      <c r="CU82" s="287"/>
      <c r="CV82" s="287"/>
      <c r="CW82" s="287"/>
      <c r="CX82" s="287"/>
      <c r="CY82" s="287"/>
      <c r="CZ82" s="287"/>
      <c r="DA82" s="287"/>
      <c r="DB82" s="287"/>
      <c r="DC82" s="287"/>
      <c r="DD82" s="287"/>
      <c r="DE82" s="287"/>
    </row>
    <row r="83" spans="1:138" s="36" customFormat="1" ht="18.75" customHeight="1" x14ac:dyDescent="0.25">
      <c r="A83" s="205"/>
      <c r="B83" s="648"/>
      <c r="C83" s="648"/>
      <c r="D83" s="648"/>
      <c r="E83" s="648"/>
      <c r="F83" s="506"/>
      <c r="G83" s="648"/>
      <c r="H83" s="648"/>
      <c r="J83" s="233"/>
      <c r="O83" s="221"/>
      <c r="P83" s="649" t="str">
        <f>IF(AND(B97="The outcome threshold of 70% has not been met.  
Completion of the analysis and action plan boxes to the right are required ==&gt;",B98=""),"1)","")</f>
        <v/>
      </c>
      <c r="Q83" s="428"/>
      <c r="R83" s="428"/>
      <c r="S83" s="428"/>
      <c r="T83" s="428"/>
      <c r="U83" s="428"/>
      <c r="V83" s="428"/>
      <c r="W83" s="428"/>
      <c r="X83" s="249"/>
      <c r="Y83" s="12"/>
      <c r="Z83" s="429"/>
      <c r="AA83" s="443"/>
      <c r="AB83" s="443"/>
      <c r="AC83" s="443"/>
      <c r="AD83" s="443"/>
      <c r="AE83" s="443"/>
      <c r="AF83" s="443"/>
      <c r="AG83" s="436"/>
      <c r="AH83" s="287"/>
      <c r="AI83" s="436"/>
      <c r="AJ83" s="436"/>
      <c r="AK83" s="436"/>
      <c r="AL83" s="436"/>
      <c r="AM83" s="436"/>
      <c r="AN83" s="436"/>
      <c r="AO83" s="436"/>
      <c r="AP83" s="287"/>
      <c r="AQ83" s="628"/>
      <c r="AR83" s="436"/>
      <c r="AS83" s="436"/>
      <c r="AT83" s="436"/>
      <c r="AU83" s="436"/>
      <c r="AV83" s="436"/>
      <c r="AW83" s="436"/>
      <c r="AX83" s="436"/>
      <c r="AY83" s="436"/>
      <c r="AZ83" s="642"/>
      <c r="BA83" s="421"/>
      <c r="BB83" s="421"/>
      <c r="BC83" s="421"/>
      <c r="BD83" s="421"/>
      <c r="BE83" s="421"/>
      <c r="BF83" s="421"/>
      <c r="BG83" s="421"/>
      <c r="BH83" s="246"/>
      <c r="BI83" s="246"/>
      <c r="BJ83" s="493"/>
      <c r="BK83" s="493"/>
      <c r="BL83" s="493"/>
      <c r="BM83" s="493"/>
      <c r="BN83" s="493"/>
      <c r="BO83" s="493"/>
      <c r="BP83" s="493"/>
      <c r="BQ83" s="287"/>
      <c r="BR83" s="287"/>
      <c r="BS83" s="287"/>
      <c r="BT83" s="287"/>
      <c r="BU83" s="287"/>
      <c r="BV83" s="287"/>
      <c r="BW83" s="287"/>
      <c r="BX83" s="287"/>
      <c r="BY83" s="287"/>
      <c r="BZ83" s="287"/>
      <c r="CA83" s="246"/>
      <c r="CB83" s="246"/>
      <c r="CC83" s="246"/>
      <c r="CD83" s="246"/>
      <c r="CE83" s="246"/>
      <c r="CF83" s="246"/>
      <c r="CG83" s="287"/>
      <c r="CH83" s="287"/>
      <c r="CI83" s="287"/>
      <c r="CJ83" s="287"/>
      <c r="CK83" s="287"/>
      <c r="CL83" s="287"/>
      <c r="CM83" s="287"/>
      <c r="CN83" s="287"/>
      <c r="CO83" s="287"/>
      <c r="CP83" s="287"/>
      <c r="CQ83" s="287"/>
      <c r="CR83" s="287"/>
      <c r="CS83" s="287"/>
      <c r="CT83" s="287"/>
      <c r="CU83" s="287"/>
      <c r="CV83" s="287"/>
      <c r="CW83" s="287"/>
      <c r="CX83" s="287"/>
      <c r="CY83" s="287"/>
      <c r="CZ83" s="287"/>
      <c r="DA83" s="287"/>
      <c r="DB83" s="287"/>
      <c r="DC83" s="287"/>
      <c r="DD83" s="287"/>
      <c r="DE83" s="287"/>
    </row>
    <row r="84" spans="1:138" s="239" customFormat="1" ht="36.75" customHeight="1" x14ac:dyDescent="0.25">
      <c r="A84" s="205"/>
      <c r="B84" s="650" t="str">
        <f>IF(G81="No","Which written examination results are being reported?", "")</f>
        <v/>
      </c>
      <c r="C84" s="650"/>
      <c r="D84" s="650"/>
      <c r="E84" s="650"/>
      <c r="F84" s="650"/>
      <c r="G84" s="647"/>
      <c r="H84" s="647"/>
      <c r="I84" s="113"/>
      <c r="J84" s="113"/>
      <c r="K84" s="113"/>
      <c r="N84" s="364" t="str">
        <f>IF(OR(AND(G81="No", G84="", D432&lt;&gt;""), AND(G81="Yes",G84&lt;&gt;"",D432&lt;&gt;"")),1,"")</f>
        <v/>
      </c>
      <c r="O84" s="221" t="str">
        <f>IF(N84=1,"&lt;===", "")</f>
        <v/>
      </c>
      <c r="P84" s="649"/>
      <c r="Q84" s="428"/>
      <c r="R84" s="428"/>
      <c r="S84" s="428"/>
      <c r="T84" s="428"/>
      <c r="U84" s="428"/>
      <c r="V84" s="428"/>
      <c r="W84" s="428"/>
      <c r="X84" s="249"/>
      <c r="Y84" s="12"/>
      <c r="Z84" s="429"/>
      <c r="AA84" s="443"/>
      <c r="AB84" s="443"/>
      <c r="AC84" s="443"/>
      <c r="AD84" s="443"/>
      <c r="AE84" s="443"/>
      <c r="AF84" s="443"/>
      <c r="AG84" s="436"/>
      <c r="AH84" s="447"/>
      <c r="AI84" s="436"/>
      <c r="AJ84" s="436"/>
      <c r="AK84" s="436"/>
      <c r="AL84" s="436"/>
      <c r="AM84" s="436"/>
      <c r="AN84" s="436"/>
      <c r="AO84" s="436"/>
      <c r="AP84" s="453"/>
      <c r="AQ84" s="628"/>
      <c r="AR84" s="436"/>
      <c r="AS84" s="436"/>
      <c r="AT84" s="436"/>
      <c r="AU84" s="436"/>
      <c r="AV84" s="436"/>
      <c r="AW84" s="436"/>
      <c r="AX84" s="436"/>
      <c r="AY84" s="436"/>
      <c r="AZ84" s="642"/>
      <c r="BA84" s="421"/>
      <c r="BB84" s="421"/>
      <c r="BC84" s="421"/>
      <c r="BD84" s="421"/>
      <c r="BE84" s="421"/>
      <c r="BF84" s="421"/>
      <c r="BG84" s="421"/>
      <c r="BH84" s="246"/>
      <c r="BI84" s="247"/>
      <c r="BJ84" s="493"/>
      <c r="BK84" s="493"/>
      <c r="BL84" s="493"/>
      <c r="BM84" s="493"/>
      <c r="BN84" s="493"/>
      <c r="BO84" s="493"/>
      <c r="BP84" s="493"/>
      <c r="BQ84" s="453"/>
      <c r="BR84" s="453"/>
      <c r="BS84" s="453"/>
      <c r="BT84" s="287"/>
      <c r="BU84" s="491"/>
      <c r="BV84" s="453"/>
      <c r="BW84" s="453"/>
      <c r="BX84" s="453"/>
      <c r="BY84" s="453"/>
      <c r="BZ84" s="453"/>
      <c r="CA84" s="425"/>
      <c r="CB84" s="425"/>
      <c r="CC84" s="425"/>
      <c r="CD84" s="425"/>
      <c r="CE84" s="425"/>
      <c r="CF84" s="246"/>
      <c r="CG84" s="287"/>
      <c r="CH84" s="287"/>
      <c r="CI84" s="287"/>
      <c r="CJ84" s="287"/>
      <c r="CK84" s="287"/>
      <c r="CL84" s="287"/>
      <c r="CM84" s="287"/>
      <c r="CN84" s="287"/>
      <c r="CO84" s="287"/>
      <c r="CP84" s="287"/>
      <c r="CQ84" s="287"/>
      <c r="CR84" s="287"/>
      <c r="CS84" s="287"/>
      <c r="CT84" s="287"/>
      <c r="CU84" s="287"/>
      <c r="CV84" s="287"/>
      <c r="CW84" s="287"/>
      <c r="CX84" s="287"/>
      <c r="CY84" s="287"/>
      <c r="CZ84" s="287"/>
      <c r="DA84" s="287"/>
      <c r="DB84" s="287"/>
      <c r="DC84" s="287"/>
      <c r="DD84" s="287"/>
      <c r="DE84" s="287"/>
    </row>
    <row r="85" spans="1:138" s="36" customFormat="1" x14ac:dyDescent="0.25">
      <c r="A85" s="205"/>
      <c r="O85" s="419" t="str">
        <f>IF(AND(G81="Yes",G84&lt;&gt;""),"Remove", "")</f>
        <v/>
      </c>
      <c r="P85" s="404"/>
      <c r="Q85" s="455"/>
      <c r="R85" s="455"/>
      <c r="S85" s="455"/>
      <c r="T85" s="453"/>
      <c r="U85" s="453"/>
      <c r="V85" s="453"/>
      <c r="W85" s="507"/>
      <c r="X85" s="492"/>
      <c r="Y85" s="287"/>
      <c r="Z85" s="494"/>
      <c r="AA85" s="494"/>
      <c r="AB85" s="494"/>
      <c r="AC85" s="494"/>
      <c r="AD85" s="494"/>
      <c r="AE85" s="494"/>
      <c r="AF85" s="494"/>
      <c r="AG85" s="263"/>
      <c r="AH85" s="287"/>
      <c r="AI85" s="494"/>
      <c r="AJ85" s="494"/>
      <c r="AK85" s="494"/>
      <c r="AL85" s="494"/>
      <c r="AM85" s="494"/>
      <c r="AN85" s="494"/>
      <c r="AO85" s="494"/>
      <c r="AP85" s="263"/>
      <c r="AQ85" s="287"/>
      <c r="AR85" s="494"/>
      <c r="AS85" s="494"/>
      <c r="AT85" s="494"/>
      <c r="AU85" s="494"/>
      <c r="AV85" s="494"/>
      <c r="AW85" s="494"/>
      <c r="AX85" s="494"/>
      <c r="AY85" s="496"/>
      <c r="AZ85" s="287"/>
      <c r="BA85" s="651"/>
      <c r="BB85" s="651"/>
      <c r="BC85" s="287"/>
      <c r="BD85" s="287"/>
      <c r="BE85" s="287"/>
      <c r="BF85" s="287"/>
      <c r="BG85" s="267"/>
      <c r="BH85" s="496"/>
      <c r="BI85" s="287"/>
      <c r="BJ85" s="651"/>
      <c r="BK85" s="651"/>
      <c r="BL85" s="287"/>
      <c r="BM85" s="287"/>
      <c r="BN85" s="287"/>
      <c r="BO85" s="287"/>
      <c r="BP85" s="267" t="str">
        <f>IF(AND(P83&lt;&gt;"",BJ85="Please Select",D432&lt;&gt;""),1, "")</f>
        <v/>
      </c>
      <c r="BQ85" s="496" t="str">
        <f>IF(BP85=1,"&lt;===", "")</f>
        <v/>
      </c>
      <c r="BR85" s="287"/>
      <c r="BS85" s="287"/>
      <c r="BT85" s="287"/>
      <c r="BU85" s="287"/>
      <c r="BV85" s="651"/>
      <c r="BW85" s="651"/>
      <c r="BX85" s="287"/>
      <c r="BY85" s="287"/>
      <c r="BZ85" s="287"/>
      <c r="CA85" s="287"/>
      <c r="CB85" s="287"/>
      <c r="CC85" s="287"/>
      <c r="CD85" s="287"/>
      <c r="CE85" s="267" t="str">
        <f>IF(AND(P83&lt;&gt;"",BV85="Please Select",D432&lt;&gt;""),1, "")</f>
        <v/>
      </c>
      <c r="CF85" s="496" t="str">
        <f>IF(CE85=1,"&lt;===", "")</f>
        <v/>
      </c>
      <c r="CG85" s="287"/>
      <c r="CH85" s="287"/>
      <c r="CI85" s="287"/>
      <c r="CJ85" s="287"/>
      <c r="CK85" s="287"/>
      <c r="CL85" s="287"/>
      <c r="CM85" s="287"/>
      <c r="CN85" s="287"/>
      <c r="CO85" s="287"/>
      <c r="CP85" s="287"/>
      <c r="CQ85" s="287"/>
      <c r="CR85" s="287"/>
      <c r="CS85" s="287"/>
      <c r="CT85" s="287"/>
      <c r="CU85" s="287"/>
      <c r="CV85" s="287"/>
      <c r="CW85" s="287"/>
      <c r="CX85" s="287"/>
      <c r="CY85" s="287"/>
      <c r="CZ85" s="287"/>
      <c r="DA85" s="287"/>
      <c r="DB85" s="287"/>
      <c r="DC85" s="287"/>
      <c r="DD85" s="287"/>
      <c r="DE85" s="287"/>
      <c r="DF85" s="287"/>
      <c r="DG85" s="287"/>
      <c r="DH85" s="287"/>
      <c r="DI85" s="287"/>
      <c r="DJ85" s="287"/>
      <c r="DK85" s="287"/>
      <c r="DL85" s="287"/>
      <c r="DM85" s="287"/>
      <c r="DN85" s="287"/>
      <c r="DO85" s="287"/>
      <c r="DP85" s="287"/>
      <c r="DQ85" s="287"/>
      <c r="DR85" s="287"/>
      <c r="DS85" s="287"/>
      <c r="DT85" s="287"/>
      <c r="DU85" s="287"/>
      <c r="DV85" s="287"/>
      <c r="DW85" s="287"/>
      <c r="DX85" s="287"/>
      <c r="DY85" s="287"/>
      <c r="DZ85" s="287"/>
      <c r="EA85" s="287"/>
      <c r="EB85" s="287"/>
      <c r="EC85" s="287"/>
      <c r="ED85" s="287"/>
      <c r="EE85" s="287"/>
      <c r="EF85" s="287"/>
      <c r="EG85" s="287"/>
      <c r="EH85" s="287"/>
    </row>
    <row r="86" spans="1:138" s="23" customFormat="1" ht="23.25" customHeight="1" x14ac:dyDescent="0.25">
      <c r="A86" s="205"/>
      <c r="B86" s="40" t="s">
        <v>100</v>
      </c>
      <c r="C86" s="28"/>
      <c r="D86" s="28"/>
      <c r="E86" s="28"/>
      <c r="F86" s="28"/>
      <c r="G86" s="28"/>
      <c r="H86" s="28"/>
      <c r="I86" s="28"/>
      <c r="J86" s="28"/>
      <c r="K86" s="28"/>
      <c r="L86" s="28"/>
      <c r="M86" s="28"/>
      <c r="N86" s="29"/>
      <c r="P86" s="3"/>
      <c r="Q86" s="88"/>
      <c r="R86" s="450" t="str">
        <f>IF(P83&lt;&gt;"","REQUIRED: A detailed ANALYSIS for the Written Examination outcome in the box below","")</f>
        <v/>
      </c>
      <c r="S86" s="88"/>
      <c r="T86" s="88"/>
      <c r="U86" s="88"/>
      <c r="V86" s="88"/>
      <c r="W86" s="88"/>
      <c r="X86" s="88"/>
      <c r="Y86" s="246"/>
      <c r="Z86" s="494"/>
      <c r="AA86" s="448"/>
      <c r="AB86" s="448"/>
      <c r="AC86" s="448"/>
      <c r="AD86" s="448"/>
      <c r="AE86" s="448"/>
      <c r="AF86" s="448"/>
      <c r="AG86" s="269"/>
      <c r="AH86" s="287"/>
      <c r="AI86" s="448"/>
      <c r="AJ86" s="448"/>
      <c r="AK86" s="448"/>
      <c r="AL86" s="448"/>
      <c r="AM86" s="448"/>
      <c r="AN86" s="448"/>
      <c r="AO86" s="448"/>
      <c r="AP86" s="269"/>
      <c r="AQ86" s="287"/>
      <c r="AR86" s="448"/>
      <c r="AS86" s="448"/>
      <c r="AT86" s="448"/>
      <c r="AU86" s="448"/>
      <c r="AV86" s="448"/>
      <c r="AW86" s="448"/>
      <c r="AX86" s="448"/>
      <c r="AY86" s="267"/>
      <c r="AZ86" s="246"/>
      <c r="BA86" s="248"/>
      <c r="BB86" s="248"/>
      <c r="BC86" s="248"/>
      <c r="BD86" s="248"/>
      <c r="BE86" s="248"/>
      <c r="BF86" s="248"/>
      <c r="BG86" s="248"/>
      <c r="BH86" s="82"/>
      <c r="BI86" s="82"/>
      <c r="BJ86" s="500"/>
      <c r="BK86" s="500"/>
      <c r="BL86" s="500"/>
      <c r="BM86" s="500"/>
      <c r="BN86" s="500"/>
      <c r="BO86" s="500"/>
      <c r="BP86" s="500"/>
      <c r="BQ86" s="500"/>
      <c r="BR86" s="287"/>
      <c r="BS86" s="287"/>
      <c r="BT86" s="287"/>
      <c r="BU86" s="287"/>
      <c r="BV86" s="495"/>
      <c r="BW86" s="495"/>
      <c r="BX86" s="495"/>
      <c r="BY86" s="495"/>
      <c r="BZ86" s="495"/>
      <c r="CA86" s="422"/>
      <c r="CB86" s="422"/>
      <c r="CC86" s="422"/>
      <c r="CD86" s="422"/>
      <c r="CE86" s="422"/>
      <c r="CF86" s="246"/>
      <c r="CG86" s="287"/>
      <c r="CH86" s="287"/>
      <c r="CI86" s="287"/>
      <c r="CJ86" s="287"/>
      <c r="CK86" s="287"/>
      <c r="CL86" s="287"/>
      <c r="CM86" s="287"/>
      <c r="CN86" s="287"/>
      <c r="CO86" s="287"/>
      <c r="CP86" s="287"/>
      <c r="CQ86" s="287"/>
      <c r="CR86" s="287"/>
      <c r="CS86" s="287"/>
      <c r="CT86" s="287"/>
      <c r="CU86" s="287"/>
      <c r="CV86" s="287"/>
      <c r="CW86" s="287"/>
      <c r="CX86" s="287"/>
      <c r="CY86" s="287"/>
      <c r="CZ86" s="287"/>
      <c r="DA86" s="287"/>
      <c r="DB86" s="287"/>
      <c r="DC86" s="287"/>
      <c r="DD86" s="287"/>
      <c r="DE86" s="287"/>
    </row>
    <row r="87" spans="1:138" s="23" customFormat="1" ht="62.25" customHeight="1" x14ac:dyDescent="0.25">
      <c r="A87" s="205"/>
      <c r="B87" s="679" t="str">
        <f>"The Written Examination (National Registry/State) outcome threshold set by the CoAEMSP is 70%.  The success of any examination results will be computed using the most recent reporting year ("&amp;D4&amp;") based on the total number of graduates attempting the examination.  Each graduate should be reported only once."</f>
        <v>The Written Examination (National Registry/State) outcome threshold set by the CoAEMSP is 70%.  The success of any examination results will be computed using the most recent reporting year (2022) based on the total number of graduates attempting the examination.  Each graduate should be reported only once.</v>
      </c>
      <c r="C87" s="680"/>
      <c r="D87" s="680"/>
      <c r="E87" s="680"/>
      <c r="F87" s="680"/>
      <c r="G87" s="680"/>
      <c r="H87" s="680"/>
      <c r="I87" s="680"/>
      <c r="J87" s="680"/>
      <c r="K87" s="680"/>
      <c r="L87" s="680"/>
      <c r="M87" s="680"/>
      <c r="N87" s="681"/>
      <c r="P87" s="225"/>
      <c r="Q87" s="429"/>
      <c r="R87" s="655"/>
      <c r="S87" s="655"/>
      <c r="T87" s="655"/>
      <c r="U87" s="655"/>
      <c r="V87" s="655"/>
      <c r="W87" s="655"/>
      <c r="X87" s="655"/>
      <c r="Y87" s="655"/>
      <c r="Z87" s="655"/>
      <c r="AA87" s="263" t="str">
        <f>IF(AB87=1, "&lt;===", "")</f>
        <v/>
      </c>
      <c r="AB87" s="483" t="str">
        <f>IF(AND(P83&lt;&gt;"",R87="", D432&lt;&gt;""),1, "")</f>
        <v/>
      </c>
      <c r="AC87" s="448"/>
      <c r="AD87" s="448"/>
      <c r="AE87" s="448"/>
      <c r="AF87" s="448"/>
      <c r="AG87" s="448"/>
      <c r="AH87" s="454"/>
      <c r="AI87" s="448"/>
      <c r="AJ87" s="448"/>
      <c r="AK87" s="448"/>
      <c r="AL87" s="448"/>
      <c r="AM87" s="448"/>
      <c r="AN87" s="448"/>
      <c r="AO87" s="448"/>
      <c r="AP87" s="448"/>
      <c r="AQ87" s="287"/>
      <c r="AR87" s="448"/>
      <c r="AS87" s="448"/>
      <c r="AT87" s="448"/>
      <c r="AU87" s="448"/>
      <c r="AV87" s="448"/>
      <c r="AW87" s="448"/>
      <c r="AX87" s="448"/>
      <c r="AY87" s="441"/>
      <c r="AZ87" s="246"/>
      <c r="BA87" s="422"/>
      <c r="BB87" s="422"/>
      <c r="BC87" s="422"/>
      <c r="BD87" s="422"/>
      <c r="BE87" s="422"/>
      <c r="BF87" s="422"/>
      <c r="BG87" s="422"/>
      <c r="BH87" s="12"/>
      <c r="BI87" s="12"/>
      <c r="BJ87" s="494"/>
      <c r="BK87" s="494"/>
      <c r="BL87" s="494"/>
      <c r="BM87" s="494"/>
      <c r="BN87" s="494"/>
      <c r="BO87" s="494"/>
      <c r="BP87" s="494"/>
      <c r="BQ87" s="496"/>
      <c r="BR87" s="441"/>
      <c r="BS87" s="441"/>
      <c r="BT87" s="287"/>
      <c r="BU87" s="287"/>
      <c r="BV87" s="508"/>
      <c r="BW87" s="508"/>
      <c r="BX87" s="508"/>
      <c r="BY87" s="508"/>
      <c r="BZ87" s="508"/>
      <c r="CA87" s="508"/>
      <c r="CB87" s="508"/>
      <c r="CC87" s="508"/>
      <c r="CD87" s="508"/>
      <c r="CE87" s="508"/>
      <c r="CF87" s="496"/>
      <c r="CG87" s="287"/>
      <c r="CH87" s="287"/>
      <c r="CI87" s="287"/>
      <c r="CJ87" s="287"/>
      <c r="CK87" s="287"/>
      <c r="CL87" s="287"/>
      <c r="CM87" s="287"/>
      <c r="CN87" s="287"/>
      <c r="CO87" s="287"/>
      <c r="CP87" s="287"/>
      <c r="CQ87" s="287"/>
      <c r="CR87" s="287"/>
      <c r="CS87" s="287"/>
      <c r="CT87" s="287"/>
      <c r="CU87" s="287"/>
      <c r="CV87" s="287"/>
      <c r="CW87" s="287"/>
      <c r="CX87" s="287"/>
      <c r="CY87" s="287"/>
      <c r="CZ87" s="287"/>
      <c r="DA87" s="287"/>
      <c r="DB87" s="287"/>
      <c r="DC87" s="287"/>
      <c r="DD87" s="287"/>
      <c r="DE87" s="287"/>
      <c r="DF87" s="287"/>
      <c r="DG87" s="287"/>
      <c r="DH87" s="287"/>
      <c r="DI87" s="287"/>
      <c r="DJ87" s="287"/>
      <c r="DK87" s="287"/>
      <c r="DL87" s="287"/>
      <c r="DM87" s="287"/>
      <c r="DN87" s="287"/>
    </row>
    <row r="88" spans="1:138" s="23" customFormat="1" ht="41.25" customHeight="1" x14ac:dyDescent="0.25">
      <c r="A88" s="205"/>
      <c r="B88" s="644" t="s">
        <v>65</v>
      </c>
      <c r="C88" s="645"/>
      <c r="D88" s="646"/>
      <c r="E88" s="27" t="str">
        <f>E56</f>
        <v/>
      </c>
      <c r="F88" s="27" t="str">
        <f t="shared" ref="F88:L88" si="6">F56</f>
        <v/>
      </c>
      <c r="G88" s="27" t="str">
        <f t="shared" si="6"/>
        <v/>
      </c>
      <c r="H88" s="27" t="str">
        <f t="shared" si="6"/>
        <v/>
      </c>
      <c r="I88" s="27" t="str">
        <f t="shared" si="6"/>
        <v/>
      </c>
      <c r="J88" s="27" t="str">
        <f t="shared" si="6"/>
        <v/>
      </c>
      <c r="K88" s="27" t="str">
        <f t="shared" si="6"/>
        <v/>
      </c>
      <c r="L88" s="27" t="str">
        <f t="shared" si="6"/>
        <v/>
      </c>
      <c r="M88" s="27" t="str">
        <f>M56</f>
        <v/>
      </c>
      <c r="N88" s="27" t="s">
        <v>12</v>
      </c>
      <c r="P88" s="3"/>
      <c r="Q88" s="501"/>
      <c r="R88" s="655"/>
      <c r="S88" s="655"/>
      <c r="T88" s="655"/>
      <c r="U88" s="655"/>
      <c r="V88" s="655"/>
      <c r="W88" s="655"/>
      <c r="X88" s="655"/>
      <c r="Y88" s="655"/>
      <c r="Z88" s="655"/>
      <c r="AA88" s="448"/>
      <c r="AB88" s="448"/>
      <c r="AC88" s="448"/>
      <c r="AD88" s="448"/>
      <c r="AE88" s="448"/>
      <c r="AF88" s="448"/>
      <c r="AG88" s="448"/>
      <c r="AH88" s="287"/>
      <c r="AI88" s="448"/>
      <c r="AJ88" s="448"/>
      <c r="AK88" s="448"/>
      <c r="AL88" s="448"/>
      <c r="AM88" s="448"/>
      <c r="AN88" s="448"/>
      <c r="AO88" s="448"/>
      <c r="AP88" s="448"/>
      <c r="AQ88" s="287"/>
      <c r="AR88" s="448"/>
      <c r="AS88" s="448"/>
      <c r="AT88" s="448"/>
      <c r="AU88" s="448"/>
      <c r="AV88" s="448"/>
      <c r="AW88" s="448"/>
      <c r="AX88" s="448"/>
      <c r="AY88" s="441"/>
      <c r="AZ88" s="246"/>
      <c r="BA88" s="494"/>
      <c r="BB88" s="494"/>
      <c r="BC88" s="494"/>
      <c r="BD88" s="494"/>
      <c r="BE88" s="494"/>
      <c r="BF88" s="494"/>
      <c r="BG88" s="494"/>
      <c r="BH88" s="496"/>
      <c r="BI88" s="509"/>
      <c r="BJ88" s="494"/>
      <c r="BK88" s="494"/>
      <c r="BL88" s="494"/>
      <c r="BM88" s="494"/>
      <c r="BN88" s="494"/>
      <c r="BO88" s="494"/>
      <c r="BP88" s="494"/>
      <c r="BQ88" s="441"/>
      <c r="BR88" s="441"/>
      <c r="BS88" s="441"/>
      <c r="BT88" s="287"/>
      <c r="BU88" s="287"/>
      <c r="BV88" s="508"/>
      <c r="BW88" s="508"/>
      <c r="BX88" s="508"/>
      <c r="BY88" s="508"/>
      <c r="BZ88" s="508"/>
      <c r="CA88" s="508"/>
      <c r="CB88" s="508"/>
      <c r="CC88" s="508"/>
      <c r="CD88" s="508"/>
      <c r="CE88" s="508"/>
      <c r="CF88" s="287"/>
      <c r="CG88" s="287"/>
      <c r="CH88" s="287"/>
      <c r="CI88" s="287"/>
      <c r="CJ88" s="287"/>
      <c r="CK88" s="287"/>
      <c r="CL88" s="287"/>
      <c r="CM88" s="287"/>
      <c r="CN88" s="287"/>
      <c r="CO88" s="287"/>
      <c r="CP88" s="287"/>
      <c r="CQ88" s="287"/>
      <c r="CR88" s="287"/>
      <c r="CS88" s="287"/>
      <c r="CT88" s="287"/>
      <c r="CU88" s="287"/>
      <c r="CV88" s="287"/>
      <c r="CW88" s="287"/>
      <c r="CX88" s="287"/>
      <c r="CY88" s="287"/>
      <c r="CZ88" s="287"/>
      <c r="DA88" s="287"/>
      <c r="DB88" s="287"/>
      <c r="DC88" s="287"/>
      <c r="DD88" s="287"/>
      <c r="DE88" s="287"/>
      <c r="DF88" s="287"/>
      <c r="DG88" s="287"/>
      <c r="DH88" s="287"/>
      <c r="DI88" s="287"/>
      <c r="DJ88" s="287"/>
      <c r="DK88" s="287"/>
      <c r="DL88" s="287"/>
      <c r="DM88" s="287"/>
      <c r="DN88" s="287"/>
      <c r="DO88" s="287"/>
      <c r="DP88" s="287"/>
    </row>
    <row r="89" spans="1:138" s="23" customFormat="1" ht="18" customHeight="1" x14ac:dyDescent="0.25">
      <c r="A89" s="205"/>
      <c r="B89" s="684" t="s">
        <v>14</v>
      </c>
      <c r="C89" s="685"/>
      <c r="D89" s="686"/>
      <c r="E89" s="68" t="str">
        <f>IF(ISBLANK(E57),"",E57)</f>
        <v/>
      </c>
      <c r="F89" s="68" t="str">
        <f t="shared" ref="F89:M89" si="7">IF(ISBLANK(F57),"",F57)</f>
        <v/>
      </c>
      <c r="G89" s="68" t="str">
        <f t="shared" si="7"/>
        <v/>
      </c>
      <c r="H89" s="68" t="str">
        <f t="shared" si="7"/>
        <v/>
      </c>
      <c r="I89" s="68" t="str">
        <f t="shared" si="7"/>
        <v/>
      </c>
      <c r="J89" s="68" t="str">
        <f t="shared" si="7"/>
        <v/>
      </c>
      <c r="K89" s="68" t="str">
        <f t="shared" si="7"/>
        <v/>
      </c>
      <c r="L89" s="68" t="str">
        <f t="shared" si="7"/>
        <v/>
      </c>
      <c r="M89" s="68" t="str">
        <f t="shared" si="7"/>
        <v/>
      </c>
      <c r="N89" s="69"/>
      <c r="P89" s="3"/>
      <c r="Q89" s="12"/>
      <c r="R89" s="655"/>
      <c r="S89" s="655"/>
      <c r="T89" s="655"/>
      <c r="U89" s="655"/>
      <c r="V89" s="655"/>
      <c r="W89" s="655"/>
      <c r="X89" s="655"/>
      <c r="Y89" s="655"/>
      <c r="Z89" s="655"/>
      <c r="AA89" s="448"/>
      <c r="AB89" s="448"/>
      <c r="AC89" s="448"/>
      <c r="AD89" s="448"/>
      <c r="AE89" s="448"/>
      <c r="AF89" s="448"/>
      <c r="AG89" s="287"/>
      <c r="AH89" s="287"/>
      <c r="AI89" s="287"/>
      <c r="AJ89" s="287"/>
      <c r="AK89" s="287"/>
      <c r="AL89" s="287"/>
      <c r="AM89" s="287"/>
      <c r="AN89" s="287"/>
      <c r="AO89" s="287"/>
      <c r="AP89" s="287"/>
      <c r="AQ89" s="287"/>
      <c r="AR89" s="448"/>
      <c r="AS89" s="448"/>
      <c r="AT89" s="448"/>
      <c r="AU89" s="448"/>
      <c r="AV89" s="448"/>
      <c r="AW89" s="448"/>
      <c r="AX89" s="448"/>
      <c r="AY89" s="287"/>
      <c r="AZ89" s="246"/>
      <c r="BA89" s="494"/>
      <c r="BB89" s="494"/>
      <c r="BC89" s="494"/>
      <c r="BD89" s="494"/>
      <c r="BE89" s="494"/>
      <c r="BF89" s="494"/>
      <c r="BG89" s="494"/>
      <c r="BH89" s="509"/>
      <c r="BI89" s="509"/>
      <c r="BJ89" s="494"/>
      <c r="BK89" s="494"/>
      <c r="BL89" s="494"/>
      <c r="BM89" s="494"/>
      <c r="BN89" s="494"/>
      <c r="BO89" s="494"/>
      <c r="BP89" s="494"/>
      <c r="BQ89" s="441"/>
      <c r="BR89" s="441"/>
      <c r="BS89" s="441"/>
      <c r="BT89" s="287"/>
      <c r="BU89" s="287"/>
      <c r="BV89" s="508"/>
      <c r="BW89" s="508"/>
      <c r="BX89" s="508"/>
      <c r="BY89" s="508"/>
      <c r="BZ89" s="508"/>
      <c r="CA89" s="508"/>
      <c r="CB89" s="508"/>
      <c r="CC89" s="508"/>
      <c r="CD89" s="508"/>
      <c r="CE89" s="508"/>
      <c r="CF89" s="287"/>
      <c r="CG89" s="287"/>
      <c r="CH89" s="287"/>
      <c r="CI89" s="287"/>
      <c r="CJ89" s="287"/>
      <c r="CK89" s="287"/>
      <c r="CL89" s="287"/>
      <c r="CM89" s="287"/>
      <c r="CN89" s="287"/>
      <c r="CO89" s="287"/>
      <c r="CP89" s="287"/>
      <c r="CQ89" s="287"/>
      <c r="CR89" s="287"/>
      <c r="CS89" s="287"/>
      <c r="CT89" s="287"/>
      <c r="CU89" s="287"/>
      <c r="CV89" s="287"/>
      <c r="CW89" s="287"/>
      <c r="CX89" s="287"/>
      <c r="CY89" s="287"/>
      <c r="CZ89" s="287"/>
      <c r="DA89" s="287"/>
      <c r="DB89" s="287"/>
      <c r="DC89" s="287"/>
      <c r="DD89" s="287"/>
      <c r="DE89" s="287"/>
      <c r="DF89" s="287"/>
      <c r="DG89" s="287"/>
      <c r="DH89" s="287"/>
      <c r="DI89" s="287"/>
      <c r="DJ89" s="287"/>
      <c r="DK89" s="287"/>
      <c r="DL89" s="287"/>
      <c r="DM89" s="287"/>
      <c r="DN89" s="287"/>
      <c r="DO89" s="287"/>
      <c r="DP89" s="287"/>
    </row>
    <row r="90" spans="1:138" s="23" customFormat="1" ht="18" customHeight="1" x14ac:dyDescent="0.25">
      <c r="A90" s="205"/>
      <c r="B90" s="598" t="s">
        <v>11</v>
      </c>
      <c r="C90" s="599"/>
      <c r="D90" s="26"/>
      <c r="E90" s="130" t="str">
        <f>IF(ISBLANK(E58),"",E58)</f>
        <v/>
      </c>
      <c r="F90" s="130" t="str">
        <f t="shared" ref="F90:M90" si="8">IF(ISBLANK(F58),"",F58)</f>
        <v/>
      </c>
      <c r="G90" s="130" t="str">
        <f t="shared" si="8"/>
        <v/>
      </c>
      <c r="H90" s="130" t="str">
        <f t="shared" si="8"/>
        <v/>
      </c>
      <c r="I90" s="130" t="str">
        <f t="shared" si="8"/>
        <v/>
      </c>
      <c r="J90" s="130" t="str">
        <f t="shared" si="8"/>
        <v/>
      </c>
      <c r="K90" s="130" t="str">
        <f t="shared" si="8"/>
        <v/>
      </c>
      <c r="L90" s="130" t="str">
        <f t="shared" si="8"/>
        <v/>
      </c>
      <c r="M90" s="130" t="str">
        <f t="shared" si="8"/>
        <v/>
      </c>
      <c r="N90" s="131"/>
      <c r="P90" s="3"/>
      <c r="Q90" s="12"/>
      <c r="R90" s="655"/>
      <c r="S90" s="655"/>
      <c r="T90" s="655"/>
      <c r="U90" s="655"/>
      <c r="V90" s="655"/>
      <c r="W90" s="655"/>
      <c r="X90" s="655"/>
      <c r="Y90" s="655"/>
      <c r="Z90" s="655"/>
      <c r="AA90" s="287"/>
      <c r="AB90" s="287"/>
      <c r="AC90" s="287"/>
      <c r="AD90" s="287"/>
      <c r="AE90" s="287"/>
      <c r="AF90" s="287"/>
      <c r="AG90" s="287"/>
      <c r="AH90" s="438"/>
      <c r="AI90" s="443"/>
      <c r="AJ90" s="443"/>
      <c r="AK90" s="443"/>
      <c r="AL90" s="443"/>
      <c r="AM90" s="443"/>
      <c r="AN90" s="443"/>
      <c r="AO90" s="443"/>
      <c r="AP90" s="287"/>
      <c r="AQ90" s="287"/>
      <c r="AR90" s="287"/>
      <c r="AS90" s="287"/>
      <c r="AT90" s="287"/>
      <c r="AU90" s="287"/>
      <c r="AV90" s="287"/>
      <c r="AW90" s="287"/>
      <c r="AX90" s="287"/>
      <c r="AY90" s="287"/>
      <c r="AZ90" s="246"/>
      <c r="BA90" s="494"/>
      <c r="BB90" s="494"/>
      <c r="BC90" s="494"/>
      <c r="BD90" s="494"/>
      <c r="BE90" s="494"/>
      <c r="BF90" s="494"/>
      <c r="BG90" s="494"/>
      <c r="BH90" s="267"/>
      <c r="BI90" s="509"/>
      <c r="BJ90" s="494"/>
      <c r="BK90" s="494"/>
      <c r="BL90" s="494"/>
      <c r="BM90" s="494"/>
      <c r="BN90" s="494"/>
      <c r="BO90" s="494"/>
      <c r="BP90" s="494"/>
      <c r="BQ90" s="267"/>
      <c r="BR90" s="441"/>
      <c r="BS90" s="441"/>
      <c r="BT90" s="287"/>
      <c r="BU90" s="287"/>
      <c r="BV90" s="508"/>
      <c r="BW90" s="508"/>
      <c r="BX90" s="508"/>
      <c r="BY90" s="508"/>
      <c r="BZ90" s="508"/>
      <c r="CA90" s="508"/>
      <c r="CB90" s="508"/>
      <c r="CC90" s="508"/>
      <c r="CD90" s="508"/>
      <c r="CE90" s="508"/>
      <c r="CF90" s="267"/>
      <c r="CG90" s="287"/>
      <c r="CH90" s="287"/>
      <c r="CI90" s="287"/>
      <c r="CJ90" s="287"/>
      <c r="CK90" s="287"/>
      <c r="CL90" s="287"/>
      <c r="CM90" s="287"/>
      <c r="CN90" s="287"/>
      <c r="CO90" s="287"/>
      <c r="CP90" s="287"/>
      <c r="CQ90" s="287"/>
      <c r="CR90" s="287"/>
      <c r="CS90" s="287"/>
      <c r="CT90" s="287"/>
      <c r="CU90" s="287"/>
      <c r="CV90" s="287"/>
      <c r="CW90" s="287"/>
      <c r="CX90" s="287"/>
      <c r="CY90" s="287"/>
      <c r="CZ90" s="287"/>
      <c r="DA90" s="287"/>
      <c r="DB90" s="287"/>
      <c r="DC90" s="287"/>
      <c r="DD90" s="287"/>
      <c r="DE90" s="287"/>
      <c r="DF90" s="287"/>
      <c r="DG90" s="287"/>
      <c r="DH90" s="287"/>
      <c r="DI90" s="287"/>
      <c r="DJ90" s="287"/>
      <c r="DK90" s="287"/>
      <c r="DL90" s="287"/>
      <c r="DM90" s="287"/>
      <c r="DN90" s="287"/>
      <c r="DO90" s="287"/>
      <c r="DP90" s="287"/>
    </row>
    <row r="91" spans="1:138" s="23" customFormat="1" ht="80.25" customHeight="1" x14ac:dyDescent="0.25">
      <c r="A91" s="205"/>
      <c r="B91" s="687" t="s">
        <v>64</v>
      </c>
      <c r="C91" s="688"/>
      <c r="D91" s="688"/>
      <c r="E91" s="132" t="str">
        <f>IF(E$71&lt;&gt;"", E$71,"")</f>
        <v/>
      </c>
      <c r="F91" s="132" t="str">
        <f t="shared" ref="F91:N91" si="9">IF(F$71&lt;&gt;"", F$71,"")</f>
        <v/>
      </c>
      <c r="G91" s="132" t="str">
        <f t="shared" si="9"/>
        <v/>
      </c>
      <c r="H91" s="132" t="str">
        <f t="shared" si="9"/>
        <v/>
      </c>
      <c r="I91" s="132" t="str">
        <f t="shared" si="9"/>
        <v/>
      </c>
      <c r="J91" s="132" t="str">
        <f t="shared" si="9"/>
        <v/>
      </c>
      <c r="K91" s="132" t="str">
        <f t="shared" si="9"/>
        <v/>
      </c>
      <c r="L91" s="132" t="str">
        <f t="shared" si="9"/>
        <v/>
      </c>
      <c r="M91" s="132" t="str">
        <f t="shared" si="9"/>
        <v/>
      </c>
      <c r="N91" s="449" t="str">
        <f t="shared" si="9"/>
        <v/>
      </c>
      <c r="P91" s="364"/>
      <c r="Q91" s="429"/>
      <c r="R91" s="655"/>
      <c r="S91" s="655"/>
      <c r="T91" s="655"/>
      <c r="U91" s="655"/>
      <c r="V91" s="655"/>
      <c r="W91" s="655"/>
      <c r="X91" s="655"/>
      <c r="Y91" s="655"/>
      <c r="Z91" s="655"/>
      <c r="AA91" s="443"/>
      <c r="AB91" s="443"/>
      <c r="AC91" s="443"/>
      <c r="AD91" s="443"/>
      <c r="AE91" s="443"/>
      <c r="AF91" s="443"/>
      <c r="AG91" s="443"/>
      <c r="AH91" s="454"/>
      <c r="AI91" s="443"/>
      <c r="AJ91" s="443"/>
      <c r="AK91" s="443"/>
      <c r="AL91" s="443"/>
      <c r="AM91" s="443"/>
      <c r="AN91" s="443"/>
      <c r="AO91" s="443"/>
      <c r="AP91" s="443"/>
      <c r="AQ91" s="615"/>
      <c r="AR91" s="443"/>
      <c r="AS91" s="443"/>
      <c r="AT91" s="443"/>
      <c r="AU91" s="443"/>
      <c r="AV91" s="443"/>
      <c r="AW91" s="443"/>
      <c r="AX91" s="443"/>
      <c r="AY91" s="455"/>
      <c r="AZ91" s="246"/>
      <c r="BA91" s="494"/>
      <c r="BB91" s="494"/>
      <c r="BC91" s="494"/>
      <c r="BD91" s="494"/>
      <c r="BE91" s="494"/>
      <c r="BF91" s="494"/>
      <c r="BG91" s="494"/>
      <c r="BH91" s="509"/>
      <c r="BI91" s="509"/>
      <c r="BJ91" s="494"/>
      <c r="BK91" s="494"/>
      <c r="BL91" s="494"/>
      <c r="BM91" s="494"/>
      <c r="BN91" s="494"/>
      <c r="BO91" s="494"/>
      <c r="BP91" s="494"/>
      <c r="BQ91" s="441"/>
      <c r="BR91" s="441"/>
      <c r="BS91" s="441"/>
      <c r="BT91" s="287"/>
      <c r="BU91" s="287"/>
      <c r="BV91" s="508"/>
      <c r="BW91" s="508"/>
      <c r="BX91" s="508"/>
      <c r="BY91" s="508"/>
      <c r="BZ91" s="508"/>
      <c r="CA91" s="508"/>
      <c r="CB91" s="508"/>
      <c r="CC91" s="508"/>
      <c r="CD91" s="508"/>
      <c r="CE91" s="508"/>
      <c r="CF91" s="287"/>
      <c r="CG91" s="287"/>
      <c r="CH91" s="287"/>
      <c r="CI91" s="287"/>
      <c r="CJ91" s="287"/>
      <c r="CK91" s="287"/>
      <c r="CL91" s="287"/>
      <c r="CM91" s="287"/>
      <c r="CN91" s="287"/>
      <c r="CO91" s="287"/>
      <c r="CP91" s="287"/>
      <c r="CQ91" s="287"/>
      <c r="CR91" s="287"/>
      <c r="CS91" s="287"/>
      <c r="CT91" s="287"/>
      <c r="CU91" s="287"/>
      <c r="CV91" s="287"/>
      <c r="CW91" s="287"/>
      <c r="CX91" s="287"/>
      <c r="CY91" s="287"/>
      <c r="CZ91" s="287"/>
      <c r="DA91" s="287"/>
      <c r="DB91" s="287"/>
      <c r="DC91" s="287"/>
      <c r="DD91" s="287"/>
      <c r="DE91" s="287"/>
      <c r="DF91" s="287"/>
      <c r="DG91" s="287"/>
      <c r="DH91" s="287"/>
      <c r="DI91" s="287"/>
      <c r="DJ91" s="287"/>
      <c r="DK91" s="287"/>
      <c r="DL91" s="287"/>
      <c r="DM91" s="287"/>
      <c r="DN91" s="287"/>
      <c r="DO91" s="287"/>
      <c r="DP91" s="287"/>
    </row>
    <row r="92" spans="1:138" s="232" customFormat="1" ht="61.5" customHeight="1" x14ac:dyDescent="0.25">
      <c r="A92" s="205"/>
      <c r="B92" s="231"/>
      <c r="C92" s="674" t="s">
        <v>149</v>
      </c>
      <c r="D92" s="675"/>
      <c r="E92" s="167"/>
      <c r="F92" s="167"/>
      <c r="G92" s="167"/>
      <c r="H92" s="167"/>
      <c r="I92" s="167"/>
      <c r="J92" s="167"/>
      <c r="K92" s="167"/>
      <c r="L92" s="167"/>
      <c r="M92" s="333" t="str">
        <f>'2022 Satellite(s)'!N94</f>
        <v/>
      </c>
      <c r="N92" s="170" t="str">
        <f>IF(COUNT(E92:M92),SUM(E92:M92),"")</f>
        <v/>
      </c>
      <c r="O92" s="221" t="str">
        <f>IF(P92=1, "&lt;===", "")</f>
        <v/>
      </c>
      <c r="P92" s="364" t="str">
        <f>IF(OR(AND(E91&lt;&gt;"",E92="",D432&lt;&gt;""),AND(F91&lt;&gt;"",F92="",D432&lt;&gt;""),AND(G91&lt;&gt;"",G92="",D432&lt;&gt;""),AND(H91&lt;&gt;"",H92="",D432&lt;&gt;""),AND(I91&lt;&gt;"",I92="",D432&lt;&gt;""),AND(J91&lt;&gt;"",J92="",D432&lt;&gt;""),AND(K91&lt;&gt;"",K92="",D432&lt;&gt;""),AND(L91&lt;&gt;"",L92="",D432&lt;&gt;""),AND(M91&lt;&gt;"",M92="",D432&lt;&gt;"")), 1, "")</f>
        <v/>
      </c>
      <c r="Q92" s="429"/>
      <c r="R92" s="655"/>
      <c r="S92" s="655"/>
      <c r="T92" s="655"/>
      <c r="U92" s="655"/>
      <c r="V92" s="655"/>
      <c r="W92" s="655"/>
      <c r="X92" s="655"/>
      <c r="Y92" s="655"/>
      <c r="Z92" s="655"/>
      <c r="AA92" s="443"/>
      <c r="AB92" s="443"/>
      <c r="AC92" s="443"/>
      <c r="AD92" s="443"/>
      <c r="AE92" s="443"/>
      <c r="AF92" s="443"/>
      <c r="AG92" s="443"/>
      <c r="AH92" s="454"/>
      <c r="AI92" s="443"/>
      <c r="AJ92" s="443"/>
      <c r="AK92" s="443"/>
      <c r="AL92" s="443"/>
      <c r="AM92" s="443"/>
      <c r="AN92" s="443"/>
      <c r="AO92" s="443"/>
      <c r="AP92" s="443"/>
      <c r="AQ92" s="615"/>
      <c r="AR92" s="443"/>
      <c r="AS92" s="443"/>
      <c r="AT92" s="443"/>
      <c r="AU92" s="443"/>
      <c r="AV92" s="443"/>
      <c r="AW92" s="443"/>
      <c r="AX92" s="443"/>
      <c r="AY92" s="455"/>
      <c r="AZ92" s="246"/>
      <c r="BA92" s="494"/>
      <c r="BB92" s="494"/>
      <c r="BC92" s="494"/>
      <c r="BD92" s="494"/>
      <c r="BE92" s="494"/>
      <c r="BF92" s="494"/>
      <c r="BG92" s="494"/>
      <c r="BH92" s="509"/>
      <c r="BI92" s="509"/>
      <c r="BJ92" s="494"/>
      <c r="BK92" s="494"/>
      <c r="BL92" s="494"/>
      <c r="BM92" s="494"/>
      <c r="BN92" s="494"/>
      <c r="BO92" s="494"/>
      <c r="BP92" s="494"/>
      <c r="BQ92" s="441"/>
      <c r="BR92" s="441"/>
      <c r="BS92" s="441"/>
      <c r="BT92" s="287"/>
      <c r="BU92" s="287"/>
      <c r="BV92" s="508"/>
      <c r="BW92" s="508"/>
      <c r="BX92" s="508"/>
      <c r="BY92" s="508"/>
      <c r="BZ92" s="508"/>
      <c r="CA92" s="508"/>
      <c r="CB92" s="508"/>
      <c r="CC92" s="508"/>
      <c r="CD92" s="508"/>
      <c r="CE92" s="508"/>
      <c r="CF92" s="287"/>
      <c r="CG92" s="287"/>
      <c r="CH92" s="287"/>
      <c r="CI92" s="287"/>
      <c r="CJ92" s="287"/>
      <c r="CK92" s="287"/>
      <c r="CL92" s="287"/>
      <c r="CM92" s="287"/>
      <c r="CN92" s="287"/>
      <c r="CO92" s="287"/>
      <c r="CP92" s="287"/>
      <c r="CQ92" s="287"/>
      <c r="CR92" s="287"/>
      <c r="CS92" s="287"/>
      <c r="CT92" s="287"/>
      <c r="CU92" s="287"/>
      <c r="CV92" s="287"/>
      <c r="CW92" s="287"/>
      <c r="CX92" s="287"/>
      <c r="CY92" s="287"/>
      <c r="CZ92" s="287"/>
      <c r="DA92" s="287"/>
      <c r="DB92" s="287"/>
      <c r="DC92" s="287"/>
      <c r="DD92" s="287"/>
      <c r="DE92" s="287"/>
      <c r="DF92" s="287"/>
      <c r="DG92" s="287"/>
      <c r="DH92" s="287"/>
      <c r="DI92" s="287"/>
      <c r="DJ92" s="287"/>
      <c r="DK92" s="287"/>
      <c r="DL92" s="287"/>
      <c r="DM92" s="287"/>
      <c r="DN92" s="287"/>
      <c r="DO92" s="287"/>
      <c r="DP92" s="287"/>
    </row>
    <row r="93" spans="1:138" s="23" customFormat="1" ht="50.25" customHeight="1" x14ac:dyDescent="0.25">
      <c r="A93" s="205"/>
      <c r="B93" s="241"/>
      <c r="C93" s="682" t="s">
        <v>124</v>
      </c>
      <c r="D93" s="683"/>
      <c r="E93" s="242"/>
      <c r="F93" s="242"/>
      <c r="G93" s="242"/>
      <c r="H93" s="242"/>
      <c r="I93" s="242"/>
      <c r="J93" s="242"/>
      <c r="K93" s="242"/>
      <c r="L93" s="242"/>
      <c r="M93" s="334" t="str">
        <f>'2022 Satellite(s)'!N95</f>
        <v/>
      </c>
      <c r="N93" s="243" t="str">
        <f>IF(COUNT(E93:M93),SUM(E93:M93),"")</f>
        <v/>
      </c>
      <c r="O93" s="221" t="str">
        <f>IF(P93=1, "&lt;===", "")</f>
        <v/>
      </c>
      <c r="P93" s="364" t="str">
        <f>IF(OR(AND(E91&lt;&gt;"",E93="",D432&lt;&gt;""),AND(F91&lt;&gt;"",F93="",D432&lt;&gt;""),AND(G91&lt;&gt;"",G93="",D432&lt;&gt;""),AND(H91&lt;&gt;"",H93="",D432&lt;&gt;""),AND(I91&lt;&gt;"",I93="",D432&lt;&gt;""),AND(J91&lt;&gt;"",J93="",D432&lt;&gt;""),AND(K91&lt;&gt;"",K93="",D432&lt;&gt;""),AND(L91&lt;&gt;"",L93="",D432&lt;&gt;""),AND(M91&lt;&gt;"",M93="",D432&lt;&gt;"")), 1, "")</f>
        <v/>
      </c>
      <c r="Q93" s="501"/>
      <c r="R93" s="655"/>
      <c r="S93" s="655"/>
      <c r="T93" s="655"/>
      <c r="U93" s="655"/>
      <c r="V93" s="655"/>
      <c r="W93" s="655"/>
      <c r="X93" s="655"/>
      <c r="Y93" s="655"/>
      <c r="Z93" s="655"/>
      <c r="AA93" s="437"/>
      <c r="AB93" s="441"/>
      <c r="AC93" s="441"/>
      <c r="AD93" s="441"/>
      <c r="AE93" s="441"/>
      <c r="AF93" s="267"/>
      <c r="AG93" s="431"/>
      <c r="AH93" s="287"/>
      <c r="AI93" s="651"/>
      <c r="AJ93" s="651"/>
      <c r="AK93" s="287"/>
      <c r="AL93" s="287"/>
      <c r="AM93" s="287"/>
      <c r="AN93" s="287"/>
      <c r="AO93" s="267"/>
      <c r="AP93" s="431"/>
      <c r="AQ93" s="287"/>
      <c r="AR93" s="651"/>
      <c r="AS93" s="651"/>
      <c r="AT93" s="287"/>
      <c r="AU93" s="287"/>
      <c r="AV93" s="287"/>
      <c r="AW93" s="287"/>
      <c r="AX93" s="267"/>
      <c r="AY93" s="431"/>
      <c r="AZ93" s="246"/>
      <c r="BA93" s="494"/>
      <c r="BB93" s="494"/>
      <c r="BC93" s="494"/>
      <c r="BD93" s="494"/>
      <c r="BE93" s="494"/>
      <c r="BF93" s="494"/>
      <c r="BG93" s="494"/>
      <c r="BH93" s="509"/>
      <c r="BI93" s="509"/>
      <c r="BJ93" s="494"/>
      <c r="BK93" s="494"/>
      <c r="BL93" s="494"/>
      <c r="BM93" s="494"/>
      <c r="BN93" s="494"/>
      <c r="BO93" s="494"/>
      <c r="BP93" s="494"/>
      <c r="BQ93" s="441"/>
      <c r="BR93" s="441"/>
      <c r="BS93" s="441"/>
      <c r="BT93" s="287"/>
      <c r="BU93" s="287"/>
      <c r="BV93" s="287"/>
      <c r="BW93" s="287"/>
      <c r="BX93" s="287"/>
      <c r="BY93" s="287"/>
      <c r="BZ93" s="287"/>
      <c r="CA93" s="287"/>
      <c r="CB93" s="287"/>
      <c r="CC93" s="287"/>
      <c r="CD93" s="287"/>
      <c r="CE93" s="287"/>
      <c r="CF93" s="287"/>
      <c r="CG93" s="287"/>
      <c r="CH93" s="287"/>
      <c r="CI93" s="287"/>
      <c r="CJ93" s="287"/>
      <c r="CK93" s="287"/>
      <c r="CL93" s="287"/>
      <c r="CM93" s="287"/>
      <c r="CN93" s="287"/>
      <c r="CO93" s="287"/>
      <c r="CP93" s="287"/>
      <c r="CQ93" s="287"/>
      <c r="CR93" s="287"/>
      <c r="CS93" s="287"/>
      <c r="CT93" s="287"/>
      <c r="CU93" s="287"/>
      <c r="CV93" s="287"/>
      <c r="CW93" s="287"/>
      <c r="CX93" s="287"/>
      <c r="CY93" s="287"/>
      <c r="CZ93" s="287"/>
      <c r="DA93" s="287"/>
      <c r="DB93" s="287"/>
      <c r="DC93" s="287"/>
      <c r="DD93" s="287"/>
      <c r="DE93" s="287"/>
      <c r="DF93" s="287"/>
      <c r="DG93" s="287"/>
      <c r="DH93" s="287"/>
      <c r="DI93" s="287"/>
      <c r="DJ93" s="287"/>
      <c r="DK93" s="287"/>
      <c r="DL93" s="287"/>
      <c r="DM93" s="287"/>
      <c r="DN93" s="287"/>
      <c r="DO93" s="287"/>
      <c r="DP93" s="287"/>
    </row>
    <row r="94" spans="1:138" s="23" customFormat="1" ht="52.5" customHeight="1" x14ac:dyDescent="0.25">
      <c r="A94" s="205"/>
      <c r="B94" s="238"/>
      <c r="C94" s="653" t="s">
        <v>125</v>
      </c>
      <c r="D94" s="654"/>
      <c r="E94" s="236"/>
      <c r="F94" s="236"/>
      <c r="G94" s="236"/>
      <c r="H94" s="236"/>
      <c r="I94" s="236"/>
      <c r="J94" s="236"/>
      <c r="K94" s="236"/>
      <c r="L94" s="236"/>
      <c r="M94" s="335" t="str">
        <f>'2022 Satellite(s)'!N96</f>
        <v/>
      </c>
      <c r="N94" s="237" t="str">
        <f>IF(COUNT(E94:M94),SUM(E94:M94),"")</f>
        <v/>
      </c>
      <c r="O94" s="221" t="str">
        <f>IF(P94=1, "&lt;===", "")</f>
        <v/>
      </c>
      <c r="P94" s="270" t="str">
        <f>IF(OR(AND(E91&lt;&gt;"",E94="",D432&lt;&gt;""),AND(F91&lt;&gt;"",F94="",D432&lt;&gt;""),AND(G91&lt;&gt;"",G94="",D432&lt;&gt;""),AND(H91&lt;&gt;"",H94="",D432&lt;&gt;""),AND(I91&lt;&gt;"",I94="",D432&lt;&gt;""),AND(J91&lt;&gt;"",J94="",D432&lt;&gt;""),AND(K91&lt;&gt;"",K94="",D432&lt;&gt;""),AND(L91&lt;&gt;"",L94="",D432&lt;&gt;""),AND(M91&lt;&gt;"",M94="",D432&lt;&gt;"")), 1, "")</f>
        <v/>
      </c>
      <c r="Q94" s="12"/>
      <c r="R94" s="451" t="str">
        <f>IF(P83&lt;&gt;"","REQUIRED: A detailed Action Plan for Written Examination outcome in the box below","")</f>
        <v/>
      </c>
      <c r="S94" s="12"/>
      <c r="T94" s="12"/>
      <c r="U94" s="12"/>
      <c r="V94" s="12"/>
      <c r="W94" s="12"/>
      <c r="X94" s="12"/>
      <c r="Y94" s="246"/>
      <c r="Z94" s="5"/>
      <c r="AA94" s="441"/>
      <c r="AB94" s="441"/>
      <c r="AC94" s="441"/>
      <c r="AD94" s="441"/>
      <c r="AE94" s="441"/>
      <c r="AF94" s="441"/>
      <c r="AG94" s="441"/>
      <c r="AH94" s="287"/>
      <c r="AI94" s="287"/>
      <c r="AJ94" s="287"/>
      <c r="AK94" s="287"/>
      <c r="AL94" s="287"/>
      <c r="AM94" s="287"/>
      <c r="AN94" s="287"/>
      <c r="AO94" s="287"/>
      <c r="AP94" s="287"/>
      <c r="AQ94" s="287"/>
      <c r="AR94" s="287"/>
      <c r="AS94" s="287"/>
      <c r="AT94" s="287"/>
      <c r="AU94" s="287"/>
      <c r="AV94" s="287"/>
      <c r="AW94" s="287"/>
      <c r="AX94" s="287"/>
      <c r="AY94" s="287"/>
      <c r="AZ94" s="246"/>
      <c r="BA94" s="494"/>
      <c r="BB94" s="494"/>
      <c r="BC94" s="494"/>
      <c r="BD94" s="494"/>
      <c r="BE94" s="494"/>
      <c r="BF94" s="494"/>
      <c r="BG94" s="494"/>
      <c r="BH94" s="509"/>
      <c r="BI94" s="509"/>
      <c r="BJ94" s="494"/>
      <c r="BK94" s="494"/>
      <c r="BL94" s="494"/>
      <c r="BM94" s="494"/>
      <c r="BN94" s="494"/>
      <c r="BO94" s="494"/>
      <c r="BP94" s="494"/>
      <c r="BQ94" s="441"/>
      <c r="BR94" s="441"/>
      <c r="BS94" s="441"/>
      <c r="BT94" s="287"/>
      <c r="BU94" s="491"/>
      <c r="BV94" s="453"/>
      <c r="BW94" s="453"/>
      <c r="BX94" s="453"/>
      <c r="BY94" s="453"/>
      <c r="BZ94" s="453"/>
      <c r="CA94" s="453"/>
      <c r="CB94" s="453"/>
      <c r="CC94" s="453"/>
      <c r="CD94" s="453"/>
      <c r="CE94" s="453"/>
      <c r="CF94" s="287"/>
      <c r="CG94" s="287"/>
      <c r="CH94" s="287"/>
      <c r="CI94" s="287"/>
      <c r="CJ94" s="287"/>
      <c r="CK94" s="287"/>
      <c r="CL94" s="287"/>
      <c r="CM94" s="287"/>
      <c r="CN94" s="287"/>
      <c r="CO94" s="287"/>
      <c r="CP94" s="287"/>
      <c r="CQ94" s="287"/>
      <c r="CR94" s="287"/>
      <c r="CS94" s="287"/>
      <c r="CT94" s="287"/>
      <c r="CU94" s="287"/>
      <c r="CV94" s="287"/>
      <c r="CW94" s="287"/>
      <c r="CX94" s="287"/>
      <c r="CY94" s="287"/>
      <c r="CZ94" s="287"/>
      <c r="DA94" s="287"/>
      <c r="DB94" s="287"/>
      <c r="DC94" s="287"/>
      <c r="DD94" s="287"/>
      <c r="DE94" s="287"/>
      <c r="DF94" s="287"/>
      <c r="DG94" s="287"/>
      <c r="DH94" s="287"/>
      <c r="DI94" s="287"/>
      <c r="DJ94" s="287"/>
      <c r="DK94" s="287"/>
      <c r="DL94" s="287"/>
      <c r="DM94" s="287"/>
      <c r="DN94" s="287"/>
      <c r="DO94" s="287"/>
      <c r="DP94" s="287"/>
    </row>
    <row r="95" spans="1:138" s="23" customFormat="1" ht="33" customHeight="1" x14ac:dyDescent="0.25">
      <c r="A95" s="205"/>
      <c r="B95" s="582" t="str">
        <f>"Total Passing in " &amp;D4</f>
        <v>Total Passing in 2022</v>
      </c>
      <c r="C95" s="583"/>
      <c r="D95" s="26"/>
      <c r="E95" s="75" t="str">
        <f>IF(AND(E$91&lt;&gt;"",E$92&lt;&gt;"",E$93&lt;&gt;"",E$94&lt;&gt;""),E$94,"")</f>
        <v/>
      </c>
      <c r="F95" s="75" t="str">
        <f t="shared" ref="F95:M95" si="10">IF(AND(F$91&lt;&gt;"",F$92&lt;&gt;"",F$93&lt;&gt;"",F$94&lt;&gt;""),F$94,"")</f>
        <v/>
      </c>
      <c r="G95" s="75" t="str">
        <f t="shared" si="10"/>
        <v/>
      </c>
      <c r="H95" s="75" t="str">
        <f t="shared" si="10"/>
        <v/>
      </c>
      <c r="I95" s="75" t="str">
        <f t="shared" si="10"/>
        <v/>
      </c>
      <c r="J95" s="75" t="str">
        <f t="shared" si="10"/>
        <v/>
      </c>
      <c r="K95" s="75" t="str">
        <f t="shared" si="10"/>
        <v/>
      </c>
      <c r="L95" s="75" t="str">
        <f t="shared" si="10"/>
        <v/>
      </c>
      <c r="M95" s="75" t="str">
        <f t="shared" si="10"/>
        <v/>
      </c>
      <c r="N95" s="75" t="str">
        <f>IF(COUNT(E95:M95),SUM(E95:M95),"")</f>
        <v/>
      </c>
      <c r="P95" s="3"/>
      <c r="Q95" s="429"/>
      <c r="R95" s="655"/>
      <c r="S95" s="655"/>
      <c r="T95" s="655"/>
      <c r="U95" s="655"/>
      <c r="V95" s="655"/>
      <c r="W95" s="655"/>
      <c r="X95" s="655"/>
      <c r="Y95" s="655"/>
      <c r="Z95" s="655"/>
      <c r="AA95" s="484" t="str">
        <f>IF(AB95=1, "&lt;===", "")</f>
        <v/>
      </c>
      <c r="AB95" s="485" t="str">
        <f>IF(AND(P83&lt;&gt;"",R95="", D432&lt;&gt;""),1, "")</f>
        <v/>
      </c>
      <c r="AC95" s="443"/>
      <c r="AD95" s="443"/>
      <c r="AE95" s="443"/>
      <c r="AF95" s="443"/>
      <c r="AG95" s="443"/>
      <c r="AH95" s="287"/>
      <c r="AI95" s="443"/>
      <c r="AJ95" s="443"/>
      <c r="AK95" s="443"/>
      <c r="AL95" s="443"/>
      <c r="AM95" s="443"/>
      <c r="AN95" s="443"/>
      <c r="AO95" s="443"/>
      <c r="AP95" s="443"/>
      <c r="AQ95" s="287"/>
      <c r="AR95" s="443"/>
      <c r="AS95" s="443"/>
      <c r="AT95" s="443"/>
      <c r="AU95" s="443"/>
      <c r="AV95" s="443"/>
      <c r="AW95" s="443"/>
      <c r="AX95" s="443"/>
      <c r="AY95" s="443"/>
      <c r="AZ95" s="246"/>
      <c r="BA95" s="494"/>
      <c r="BB95" s="494"/>
      <c r="BC95" s="494"/>
      <c r="BD95" s="494"/>
      <c r="BE95" s="494"/>
      <c r="BF95" s="494"/>
      <c r="BG95" s="494"/>
      <c r="BH95" s="509"/>
      <c r="BI95" s="509"/>
      <c r="BJ95" s="494"/>
      <c r="BK95" s="494"/>
      <c r="BL95" s="494"/>
      <c r="BM95" s="494"/>
      <c r="BN95" s="494"/>
      <c r="BO95" s="494"/>
      <c r="BP95" s="494"/>
      <c r="BQ95" s="441"/>
      <c r="BR95" s="441"/>
      <c r="BS95" s="441"/>
      <c r="BT95" s="287"/>
      <c r="BU95" s="287"/>
      <c r="BV95" s="494"/>
      <c r="BW95" s="494"/>
      <c r="BX95" s="494"/>
      <c r="BY95" s="494"/>
      <c r="BZ95" s="494"/>
      <c r="CA95" s="494"/>
      <c r="CB95" s="494"/>
      <c r="CC95" s="494"/>
      <c r="CD95" s="494"/>
      <c r="CE95" s="494"/>
      <c r="CF95" s="496"/>
      <c r="CG95" s="287"/>
      <c r="CH95" s="287"/>
      <c r="CI95" s="287"/>
      <c r="CJ95" s="287"/>
      <c r="CK95" s="287"/>
      <c r="CL95" s="287"/>
      <c r="CM95" s="287"/>
      <c r="CN95" s="287"/>
      <c r="CO95" s="287"/>
      <c r="CP95" s="287"/>
      <c r="CQ95" s="287"/>
      <c r="CR95" s="287"/>
      <c r="CS95" s="287"/>
      <c r="CT95" s="287"/>
      <c r="CU95" s="287"/>
      <c r="CV95" s="287"/>
      <c r="CW95" s="287"/>
      <c r="CX95" s="287"/>
      <c r="CY95" s="287"/>
      <c r="CZ95" s="287"/>
      <c r="DA95" s="287"/>
      <c r="DB95" s="287"/>
      <c r="DC95" s="287"/>
      <c r="DD95" s="287"/>
      <c r="DE95" s="287"/>
      <c r="DF95" s="287"/>
      <c r="DG95" s="287"/>
      <c r="DH95" s="287"/>
      <c r="DI95" s="287"/>
      <c r="DJ95" s="287"/>
      <c r="DK95" s="287"/>
      <c r="DL95" s="287"/>
      <c r="DM95" s="287"/>
      <c r="DN95" s="287"/>
      <c r="DO95" s="287"/>
      <c r="DP95" s="287"/>
    </row>
    <row r="96" spans="1:138" s="23" customFormat="1" ht="45.75" customHeight="1" x14ac:dyDescent="0.25">
      <c r="A96" s="205"/>
      <c r="B96" s="595" t="s">
        <v>69</v>
      </c>
      <c r="C96" s="596"/>
      <c r="D96" s="597"/>
      <c r="E96" s="190" t="str">
        <f>IF(E$91="","",IFERROR(E$95/E$92,0))</f>
        <v/>
      </c>
      <c r="F96" s="190" t="str">
        <f t="shared" ref="F96:M96" si="11">IF(F$91="","",IFERROR(F$95/F$92,0))</f>
        <v/>
      </c>
      <c r="G96" s="190" t="str">
        <f t="shared" si="11"/>
        <v/>
      </c>
      <c r="H96" s="190" t="str">
        <f t="shared" si="11"/>
        <v/>
      </c>
      <c r="I96" s="190" t="str">
        <f t="shared" si="11"/>
        <v/>
      </c>
      <c r="J96" s="190" t="str">
        <f t="shared" si="11"/>
        <v/>
      </c>
      <c r="K96" s="190" t="str">
        <f t="shared" si="11"/>
        <v/>
      </c>
      <c r="L96" s="190" t="str">
        <f t="shared" si="11"/>
        <v/>
      </c>
      <c r="M96" s="190" t="str">
        <f t="shared" si="11"/>
        <v/>
      </c>
      <c r="N96" s="191">
        <f>IF(AND(N59&lt;&gt;"",N92&lt;&gt;"",N95&lt;&gt;""),N95/N92,0)</f>
        <v>0</v>
      </c>
      <c r="O96" s="226"/>
      <c r="P96" s="364"/>
      <c r="Q96" s="494"/>
      <c r="R96" s="655"/>
      <c r="S96" s="655"/>
      <c r="T96" s="655"/>
      <c r="U96" s="655"/>
      <c r="V96" s="655"/>
      <c r="W96" s="655"/>
      <c r="X96" s="655"/>
      <c r="Y96" s="655"/>
      <c r="Z96" s="655"/>
      <c r="AA96" s="448"/>
      <c r="AB96" s="448"/>
      <c r="AC96" s="448"/>
      <c r="AD96" s="448"/>
      <c r="AE96" s="448"/>
      <c r="AF96" s="448"/>
      <c r="AG96" s="263"/>
      <c r="AH96" s="287"/>
      <c r="AI96" s="448"/>
      <c r="AJ96" s="448"/>
      <c r="AK96" s="448"/>
      <c r="AL96" s="448"/>
      <c r="AM96" s="448"/>
      <c r="AN96" s="448"/>
      <c r="AO96" s="448"/>
      <c r="AP96" s="431"/>
      <c r="AQ96" s="287"/>
      <c r="AR96" s="448"/>
      <c r="AS96" s="448"/>
      <c r="AT96" s="448"/>
      <c r="AU96" s="448"/>
      <c r="AV96" s="448"/>
      <c r="AW96" s="448"/>
      <c r="AX96" s="448"/>
      <c r="AY96" s="431"/>
      <c r="AZ96" s="246"/>
      <c r="BA96" s="494"/>
      <c r="BB96" s="494"/>
      <c r="BC96" s="494"/>
      <c r="BD96" s="494"/>
      <c r="BE96" s="494"/>
      <c r="BF96" s="494"/>
      <c r="BG96" s="494"/>
      <c r="BH96" s="509"/>
      <c r="BI96" s="492"/>
      <c r="BJ96" s="494"/>
      <c r="BK96" s="494"/>
      <c r="BL96" s="494"/>
      <c r="BM96" s="494"/>
      <c r="BN96" s="494"/>
      <c r="BO96" s="494"/>
      <c r="BP96" s="494"/>
      <c r="BQ96" s="441"/>
      <c r="BR96" s="441"/>
      <c r="BS96" s="441"/>
      <c r="BT96" s="287"/>
      <c r="BU96" s="287"/>
      <c r="BV96" s="494"/>
      <c r="BW96" s="494"/>
      <c r="BX96" s="494"/>
      <c r="BY96" s="494"/>
      <c r="BZ96" s="494"/>
      <c r="CA96" s="494"/>
      <c r="CB96" s="494"/>
      <c r="CC96" s="494"/>
      <c r="CD96" s="494"/>
      <c r="CE96" s="494"/>
      <c r="CF96" s="267"/>
      <c r="CG96" s="287"/>
      <c r="CH96" s="287"/>
      <c r="CI96" s="287"/>
      <c r="CJ96" s="287"/>
      <c r="CK96" s="287"/>
      <c r="CL96" s="287"/>
      <c r="CM96" s="287"/>
      <c r="CN96" s="287"/>
      <c r="CO96" s="287"/>
      <c r="CP96" s="287"/>
      <c r="CQ96" s="287"/>
      <c r="CR96" s="287"/>
      <c r="CS96" s="287"/>
      <c r="CT96" s="287"/>
      <c r="CU96" s="287"/>
      <c r="CV96" s="287"/>
      <c r="CW96" s="287"/>
      <c r="CX96" s="287"/>
      <c r="CY96" s="287"/>
      <c r="CZ96" s="287"/>
      <c r="DA96" s="287"/>
      <c r="DB96" s="287"/>
      <c r="DC96" s="287"/>
      <c r="DD96" s="287"/>
      <c r="DE96" s="287"/>
      <c r="DF96" s="287"/>
      <c r="DG96" s="287"/>
      <c r="DH96" s="287"/>
      <c r="DI96" s="287"/>
      <c r="DJ96" s="287"/>
      <c r="DK96" s="287"/>
      <c r="DL96" s="287"/>
      <c r="DM96" s="287"/>
      <c r="DN96" s="287"/>
      <c r="DO96" s="287"/>
      <c r="DP96" s="287"/>
    </row>
    <row r="97" spans="1:120" s="58" customFormat="1" ht="54.75" customHeight="1" x14ac:dyDescent="0.25">
      <c r="A97" s="205"/>
      <c r="B97" s="592" t="str">
        <f>IF(AND(N95&lt;&gt;"",N96&lt;0.7,N91&lt;&gt;"",N93&lt;&gt;"",N92&lt;&gt;"",N94&lt;&gt;"",N96&lt;&gt;"",B98="",'2022 Satellite(s)'!B100=""),"The outcome threshold of 70% has not been met.  
Completion of the analysis and action plan boxes to the right are required ==&gt;",IF(AND(N96&gt;=0.7,N92&lt;&gt;"",N93&lt;&gt;"",N94&lt;&gt;"",N95&lt;&gt;"",N96&lt;=100%,B98="",'2022 Satellite(s)'!B100=""),"The outcome threshold of 70% has been met.  
Please complete the next table below.",""))</f>
        <v/>
      </c>
      <c r="C97" s="593"/>
      <c r="D97" s="593"/>
      <c r="E97" s="593"/>
      <c r="F97" s="593"/>
      <c r="G97" s="593"/>
      <c r="H97" s="593"/>
      <c r="I97" s="593"/>
      <c r="J97" s="593"/>
      <c r="K97" s="593"/>
      <c r="L97" s="593"/>
      <c r="M97" s="593"/>
      <c r="N97" s="594"/>
      <c r="O97" s="23"/>
      <c r="P97" s="3"/>
      <c r="Q97" s="494"/>
      <c r="R97" s="655"/>
      <c r="S97" s="655"/>
      <c r="T97" s="655"/>
      <c r="U97" s="655"/>
      <c r="V97" s="655"/>
      <c r="W97" s="655"/>
      <c r="X97" s="655"/>
      <c r="Y97" s="655"/>
      <c r="Z97" s="655"/>
      <c r="AA97" s="448"/>
      <c r="AB97" s="448"/>
      <c r="AC97" s="448"/>
      <c r="AD97" s="448"/>
      <c r="AE97" s="448"/>
      <c r="AF97" s="448"/>
      <c r="AG97" s="269"/>
      <c r="AH97" s="287"/>
      <c r="AI97" s="448"/>
      <c r="AJ97" s="448"/>
      <c r="AK97" s="448"/>
      <c r="AL97" s="448"/>
      <c r="AM97" s="448"/>
      <c r="AN97" s="448"/>
      <c r="AO97" s="448"/>
      <c r="AP97" s="267"/>
      <c r="AQ97" s="287"/>
      <c r="AR97" s="448"/>
      <c r="AS97" s="448"/>
      <c r="AT97" s="448"/>
      <c r="AU97" s="448"/>
      <c r="AV97" s="448"/>
      <c r="AW97" s="448"/>
      <c r="AX97" s="448"/>
      <c r="AY97" s="267"/>
      <c r="AZ97" s="246"/>
      <c r="BA97" s="494"/>
      <c r="BB97" s="494"/>
      <c r="BC97" s="494"/>
      <c r="BD97" s="494"/>
      <c r="BE97" s="494"/>
      <c r="BF97" s="494"/>
      <c r="BG97" s="494"/>
      <c r="BH97" s="287"/>
      <c r="BI97" s="287"/>
      <c r="BJ97" s="494"/>
      <c r="BK97" s="494"/>
      <c r="BL97" s="494"/>
      <c r="BM97" s="494"/>
      <c r="BN97" s="494"/>
      <c r="BO97" s="494"/>
      <c r="BP97" s="494"/>
      <c r="BQ97" s="441"/>
      <c r="BR97" s="441"/>
      <c r="BS97" s="441"/>
      <c r="BT97" s="287"/>
      <c r="BU97" s="287"/>
      <c r="BV97" s="494"/>
      <c r="BW97" s="494"/>
      <c r="BX97" s="494"/>
      <c r="BY97" s="494"/>
      <c r="BZ97" s="494"/>
      <c r="CA97" s="494"/>
      <c r="CB97" s="494"/>
      <c r="CC97" s="494"/>
      <c r="CD97" s="494"/>
      <c r="CE97" s="494"/>
      <c r="CF97" s="287"/>
      <c r="CG97" s="287"/>
      <c r="CH97" s="287"/>
      <c r="CI97" s="287"/>
      <c r="CJ97" s="287"/>
      <c r="CK97" s="287"/>
      <c r="CL97" s="287"/>
      <c r="CM97" s="287"/>
      <c r="CN97" s="287"/>
      <c r="CO97" s="287"/>
      <c r="CP97" s="287"/>
      <c r="CQ97" s="287"/>
      <c r="CR97" s="287"/>
      <c r="CS97" s="287"/>
      <c r="CT97" s="287"/>
      <c r="CU97" s="287"/>
      <c r="CV97" s="287"/>
      <c r="CW97" s="287"/>
      <c r="CX97" s="287"/>
      <c r="CY97" s="287"/>
      <c r="CZ97" s="287"/>
      <c r="DA97" s="287"/>
      <c r="DB97" s="287"/>
      <c r="DC97" s="287"/>
      <c r="DD97" s="287"/>
      <c r="DE97" s="287"/>
      <c r="DF97" s="287"/>
      <c r="DG97" s="287"/>
      <c r="DH97" s="287"/>
      <c r="DI97" s="287"/>
      <c r="DJ97" s="287"/>
      <c r="DK97" s="287"/>
      <c r="DL97" s="287"/>
      <c r="DM97" s="287"/>
      <c r="DN97" s="287"/>
      <c r="DO97" s="287"/>
      <c r="DP97" s="287"/>
    </row>
    <row r="98" spans="1:120" s="23" customFormat="1" ht="52.5" customHeight="1" x14ac:dyDescent="0.25">
      <c r="A98" s="205"/>
      <c r="B98" s="632" t="str">
        <f>IF(OR(AND(E93&gt;E94,E93&lt;&gt;"",E94&lt;&gt;""),AND(F93&gt;F94,F93&lt;&gt;"",F94&lt;&gt;""),AND(G93&gt;G94,G93&lt;&gt;"",G94&lt;&gt;""),AND(H93&gt;H94,H93&lt;&gt;"",H94&lt;&gt;""),AND(I93&gt;I94,I93&lt;&gt;"",I94&lt;&gt;""),AND(J93&gt;J94,J93&lt;&gt;"",J94&lt;&gt;""),AND(K93&gt;K94,K93&lt;&gt;"",K94&lt;&gt;""),AND(L93&gt;L94,L93&lt;&gt;"",L94&lt;&gt;""),AND(M93&gt;M94,M93&lt;&gt;"",M94&lt;&gt;"")),"Error has occurred; The 3rd attempt cumulative pass rate number cannot be less than the first attempt number",IF(OR(AND(E91&lt;E92,E93&lt;&gt;"",E94&lt;&gt;""),AND(F91&lt;F92,F93&lt;&gt;"",F94&lt;&gt;""),AND(G91&lt;G92,G93&lt;&gt;"",G94&lt;&gt;""),AND(H91&lt;H92,H93&lt;&gt;"",H94&lt;&gt;""),AND(I91&lt;I92,I93&lt;&gt;"",I94&lt;&gt;""),AND(J91&lt;J92,J93&lt;&gt;"",J94&lt;&gt;""),AND(K91&lt;K92,K93&lt;&gt;"",K94&lt;&gt;""),AND(L91&lt;L92,L93&lt;&gt;"",L94&lt;&gt;""),AND(M91&lt;M92,M93&lt;&gt;"",M94&lt;&gt;"")),"Error has occurred; The number of graduates attempting 
cannot be more than the total graduates in the reporting year",IF(OR(AND(E94&gt;E92,E93&lt;&gt;"",E94&lt;&gt;""),AND(F94&gt;F92,F93&lt;&gt;"",F94&lt;&gt;""),AND(G94&gt;G92,G93&lt;&gt;"",G94&lt;&gt;""),AND(H94&gt;H92,H93&lt;&gt;"",H94&lt;&gt;""),AND(I94&gt;I92,I93&lt;&gt;"",I94&lt;&gt;""),AND(J94&gt;J92,J93&lt;&gt;"",J94&lt;&gt;""),AND(K94&gt;K92,K93&lt;&gt;"",K94&lt;&gt;""),AND(L94&gt;L92,L93&lt;&gt;"",L94&lt;&gt;""),AND(M94&gt;M92,M93&lt;&gt;"",M94&lt;&gt;"")),"Error has occurred; The 3rd attempt cumulative pass rate number cannot be more than 
the number of graduates attempting the certification examination or state license",IF(OR(AND(E91&lt;&gt;"",E95="",E96=0),AND(F91&lt;&gt;"",F95="",F96=0),AND(G91&lt;&gt;"",G95="",G96=0),AND(H91&lt;&gt;"",H95="",H96=0),AND(I91&lt;&gt;"",I95="",I96=0),AND(J91&lt;&gt;"",J95="",J96=0),AND(K91&lt;&gt;"",K95="",K96=0),AND(L91&lt;&gt;"",L95="",L96=0),AND(M91&lt;&gt;"",M95="",M96=0)),"Please Note: An empty or blank cell is not the same as a zero.",IF('2022 Satellite(s)'!B100&lt;&gt;"","Error has occurred; See Satellite(s) tab.","")))))</f>
        <v/>
      </c>
      <c r="C98" s="632"/>
      <c r="D98" s="632"/>
      <c r="E98" s="632"/>
      <c r="F98" s="632"/>
      <c r="G98" s="632"/>
      <c r="H98" s="632"/>
      <c r="I98" s="632"/>
      <c r="J98" s="632"/>
      <c r="K98" s="632"/>
      <c r="L98" s="632"/>
      <c r="M98" s="632"/>
      <c r="N98" s="632"/>
      <c r="O98" s="58"/>
      <c r="P98" s="386"/>
      <c r="Q98" s="494"/>
      <c r="R98" s="655"/>
      <c r="S98" s="655"/>
      <c r="T98" s="655"/>
      <c r="U98" s="655"/>
      <c r="V98" s="655"/>
      <c r="W98" s="655"/>
      <c r="X98" s="655"/>
      <c r="Y98" s="655"/>
      <c r="Z98" s="655"/>
      <c r="AA98" s="448"/>
      <c r="AB98" s="448"/>
      <c r="AC98" s="448"/>
      <c r="AD98" s="448"/>
      <c r="AE98" s="448"/>
      <c r="AF98" s="448"/>
      <c r="AG98" s="448"/>
      <c r="AH98" s="287"/>
      <c r="AI98" s="448"/>
      <c r="AJ98" s="448"/>
      <c r="AK98" s="448"/>
      <c r="AL98" s="448"/>
      <c r="AM98" s="448"/>
      <c r="AN98" s="448"/>
      <c r="AO98" s="448"/>
      <c r="AP98" s="441"/>
      <c r="AQ98" s="287"/>
      <c r="AR98" s="448"/>
      <c r="AS98" s="448"/>
      <c r="AT98" s="448"/>
      <c r="AU98" s="448"/>
      <c r="AV98" s="448"/>
      <c r="AW98" s="448"/>
      <c r="AX98" s="448"/>
      <c r="AY98" s="441"/>
      <c r="AZ98" s="246"/>
      <c r="BA98" s="494"/>
      <c r="BB98" s="494"/>
      <c r="BC98" s="494"/>
      <c r="BD98" s="494"/>
      <c r="BE98" s="494"/>
      <c r="BF98" s="494"/>
      <c r="BG98" s="494"/>
      <c r="BH98" s="287"/>
      <c r="BI98" s="287"/>
      <c r="BJ98" s="494"/>
      <c r="BK98" s="494"/>
      <c r="BL98" s="494"/>
      <c r="BM98" s="494"/>
      <c r="BN98" s="494"/>
      <c r="BO98" s="494"/>
      <c r="BP98" s="494"/>
      <c r="BQ98" s="441"/>
      <c r="BR98" s="441"/>
      <c r="BS98" s="441"/>
      <c r="BT98" s="287"/>
      <c r="BU98" s="287"/>
      <c r="BV98" s="494"/>
      <c r="BW98" s="494"/>
      <c r="BX98" s="494"/>
      <c r="BY98" s="494"/>
      <c r="BZ98" s="494"/>
      <c r="CA98" s="494"/>
      <c r="CB98" s="494"/>
      <c r="CC98" s="494"/>
      <c r="CD98" s="494"/>
      <c r="CE98" s="494"/>
      <c r="CF98" s="287"/>
      <c r="CG98" s="287"/>
      <c r="CH98" s="287"/>
      <c r="CI98" s="287"/>
      <c r="CJ98" s="287"/>
      <c r="CK98" s="287"/>
      <c r="CL98" s="287"/>
      <c r="CM98" s="287"/>
      <c r="CN98" s="287"/>
      <c r="CO98" s="287"/>
      <c r="CP98" s="287"/>
      <c r="CQ98" s="287"/>
      <c r="CR98" s="287"/>
      <c r="CS98" s="287"/>
      <c r="CT98" s="287"/>
      <c r="CU98" s="287"/>
      <c r="CV98" s="287"/>
      <c r="CW98" s="287"/>
      <c r="CX98" s="287"/>
      <c r="CY98" s="287"/>
      <c r="CZ98" s="287"/>
      <c r="DA98" s="287"/>
      <c r="DB98" s="287"/>
      <c r="DC98" s="287"/>
      <c r="DD98" s="287"/>
      <c r="DE98" s="287"/>
      <c r="DF98" s="287"/>
      <c r="DG98" s="287"/>
      <c r="DH98" s="287"/>
      <c r="DI98" s="287"/>
      <c r="DJ98" s="287"/>
      <c r="DK98" s="287"/>
      <c r="DL98" s="287"/>
      <c r="DM98" s="287"/>
      <c r="DN98" s="287"/>
      <c r="DO98" s="287"/>
      <c r="DP98" s="287"/>
    </row>
    <row r="99" spans="1:120" s="23" customFormat="1" x14ac:dyDescent="0.25">
      <c r="A99" s="206"/>
      <c r="P99" s="3"/>
      <c r="Q99" s="494"/>
      <c r="R99" s="655"/>
      <c r="S99" s="655"/>
      <c r="T99" s="655"/>
      <c r="U99" s="655"/>
      <c r="V99" s="655"/>
      <c r="W99" s="655"/>
      <c r="X99" s="655"/>
      <c r="Y99" s="655"/>
      <c r="Z99" s="655"/>
      <c r="AA99" s="448"/>
      <c r="AB99" s="448"/>
      <c r="AC99" s="448"/>
      <c r="AD99" s="448"/>
      <c r="AE99" s="448"/>
      <c r="AF99" s="448"/>
      <c r="AG99" s="287"/>
      <c r="AH99" s="287"/>
      <c r="AI99" s="448"/>
      <c r="AJ99" s="448"/>
      <c r="AK99" s="448"/>
      <c r="AL99" s="448"/>
      <c r="AM99" s="448"/>
      <c r="AN99" s="448"/>
      <c r="AO99" s="448"/>
      <c r="AP99" s="287"/>
      <c r="AQ99" s="287"/>
      <c r="AR99" s="448"/>
      <c r="AS99" s="448"/>
      <c r="AT99" s="448"/>
      <c r="AU99" s="448"/>
      <c r="AV99" s="448"/>
      <c r="AW99" s="448"/>
      <c r="AX99" s="448"/>
      <c r="AY99" s="287"/>
      <c r="AZ99" s="246"/>
      <c r="BA99" s="494"/>
      <c r="BB99" s="494"/>
      <c r="BC99" s="494"/>
      <c r="BD99" s="494"/>
      <c r="BE99" s="494"/>
      <c r="BF99" s="494"/>
      <c r="BG99" s="494"/>
      <c r="BH99" s="287"/>
      <c r="BI99" s="287"/>
      <c r="BJ99" s="494"/>
      <c r="BK99" s="494"/>
      <c r="BL99" s="494"/>
      <c r="BM99" s="494"/>
      <c r="BN99" s="494"/>
      <c r="BO99" s="494"/>
      <c r="BP99" s="494"/>
      <c r="BQ99" s="287"/>
      <c r="BR99" s="287"/>
      <c r="BS99" s="287"/>
      <c r="BT99" s="287"/>
      <c r="BU99" s="287"/>
      <c r="BV99" s="287"/>
      <c r="BW99" s="287"/>
      <c r="BX99" s="287"/>
      <c r="BY99" s="287"/>
      <c r="BZ99" s="287"/>
      <c r="CA99" s="287"/>
      <c r="CB99" s="287"/>
      <c r="CC99" s="287"/>
      <c r="CD99" s="287"/>
      <c r="CE99" s="287"/>
      <c r="CF99" s="287"/>
      <c r="CG99" s="287"/>
      <c r="CH99" s="287"/>
      <c r="CI99" s="287"/>
      <c r="CJ99" s="287"/>
      <c r="CK99" s="287"/>
      <c r="CL99" s="287"/>
      <c r="CM99" s="287"/>
      <c r="CN99" s="287"/>
      <c r="CO99" s="287"/>
      <c r="CP99" s="287"/>
      <c r="CQ99" s="287"/>
      <c r="CR99" s="287"/>
      <c r="CS99" s="287"/>
      <c r="CT99" s="287"/>
      <c r="CU99" s="287"/>
      <c r="CV99" s="287"/>
      <c r="CW99" s="287"/>
      <c r="CX99" s="287"/>
      <c r="CY99" s="287"/>
      <c r="CZ99" s="287"/>
      <c r="DA99" s="287"/>
      <c r="DB99" s="287"/>
      <c r="DC99" s="287"/>
      <c r="DD99" s="287"/>
      <c r="DE99" s="287"/>
      <c r="DF99" s="287"/>
      <c r="DG99" s="287"/>
      <c r="DH99" s="287"/>
      <c r="DI99" s="287"/>
      <c r="DJ99" s="287"/>
      <c r="DK99" s="287"/>
      <c r="DL99" s="287"/>
      <c r="DM99" s="287"/>
      <c r="DN99" s="287"/>
      <c r="DO99" s="287"/>
      <c r="DP99" s="287"/>
    </row>
    <row r="100" spans="1:120" s="23" customFormat="1" ht="101.25" customHeight="1" x14ac:dyDescent="0.25">
      <c r="A100" s="205"/>
      <c r="B100" s="600" t="s">
        <v>70</v>
      </c>
      <c r="C100" s="601"/>
      <c r="D100" s="601"/>
      <c r="E100" s="601"/>
      <c r="F100" s="601"/>
      <c r="G100" s="601"/>
      <c r="H100" s="601"/>
      <c r="I100" s="601"/>
      <c r="J100" s="601"/>
      <c r="K100" s="601"/>
      <c r="L100" s="601"/>
      <c r="M100" s="601"/>
      <c r="N100" s="602"/>
      <c r="P100" s="3"/>
      <c r="Q100" s="494"/>
      <c r="R100" s="655"/>
      <c r="S100" s="655"/>
      <c r="T100" s="655"/>
      <c r="U100" s="655"/>
      <c r="V100" s="655"/>
      <c r="W100" s="655"/>
      <c r="X100" s="655"/>
      <c r="Y100" s="655"/>
      <c r="Z100" s="655"/>
      <c r="AA100" s="448"/>
      <c r="AB100" s="448"/>
      <c r="AC100" s="448"/>
      <c r="AD100" s="448"/>
      <c r="AE100" s="448"/>
      <c r="AF100" s="448"/>
      <c r="AG100" s="287"/>
      <c r="AH100" s="287"/>
      <c r="AI100" s="448"/>
      <c r="AJ100" s="448"/>
      <c r="AK100" s="448"/>
      <c r="AL100" s="448"/>
      <c r="AM100" s="448"/>
      <c r="AN100" s="448"/>
      <c r="AO100" s="448"/>
      <c r="AP100" s="287"/>
      <c r="AQ100" s="287"/>
      <c r="AR100" s="448"/>
      <c r="AS100" s="448"/>
      <c r="AT100" s="448"/>
      <c r="AU100" s="448"/>
      <c r="AV100" s="448"/>
      <c r="AW100" s="448"/>
      <c r="AX100" s="448"/>
      <c r="AY100" s="287"/>
      <c r="AZ100" s="246"/>
      <c r="BA100" s="494"/>
      <c r="BB100" s="494"/>
      <c r="BC100" s="494"/>
      <c r="BD100" s="494"/>
      <c r="BE100" s="494"/>
      <c r="BF100" s="494"/>
      <c r="BG100" s="494"/>
      <c r="BH100" s="287"/>
      <c r="BI100" s="287"/>
      <c r="BJ100" s="494"/>
      <c r="BK100" s="494"/>
      <c r="BL100" s="494"/>
      <c r="BM100" s="494"/>
      <c r="BN100" s="494"/>
      <c r="BO100" s="494"/>
      <c r="BP100" s="494"/>
      <c r="BQ100" s="287"/>
      <c r="BR100" s="287"/>
      <c r="BS100" s="287"/>
      <c r="BT100" s="287"/>
      <c r="BU100" s="287"/>
      <c r="BV100" s="287"/>
      <c r="BW100" s="287"/>
      <c r="BX100" s="287"/>
      <c r="BY100" s="287"/>
      <c r="BZ100" s="287"/>
      <c r="CA100" s="287"/>
      <c r="CB100" s="287"/>
      <c r="CC100" s="287"/>
      <c r="CD100" s="287"/>
      <c r="CE100" s="287"/>
      <c r="CF100" s="287"/>
      <c r="CG100" s="287"/>
      <c r="CH100" s="287"/>
      <c r="CI100" s="287"/>
      <c r="CJ100" s="287"/>
      <c r="CK100" s="287"/>
      <c r="CL100" s="287"/>
      <c r="CM100" s="287"/>
      <c r="CN100" s="287"/>
      <c r="CO100" s="287"/>
      <c r="CP100" s="287"/>
      <c r="CQ100" s="287"/>
      <c r="CR100" s="287"/>
      <c r="CS100" s="287"/>
      <c r="CT100" s="287"/>
      <c r="CU100" s="287"/>
      <c r="CV100" s="287"/>
      <c r="CW100" s="287"/>
      <c r="CX100" s="287"/>
      <c r="CY100" s="287"/>
      <c r="CZ100" s="287"/>
      <c r="DA100" s="287"/>
      <c r="DB100" s="287"/>
      <c r="DC100" s="287"/>
      <c r="DD100" s="287"/>
      <c r="DE100" s="287"/>
      <c r="DF100" s="287"/>
      <c r="DG100" s="287"/>
      <c r="DH100" s="287"/>
      <c r="DI100" s="287"/>
      <c r="DJ100" s="287"/>
      <c r="DK100" s="287"/>
      <c r="DL100" s="287"/>
      <c r="DM100" s="287"/>
      <c r="DN100" s="287"/>
      <c r="DO100" s="287"/>
      <c r="DP100" s="287"/>
    </row>
    <row r="101" spans="1:120" s="21" customFormat="1" x14ac:dyDescent="0.25">
      <c r="A101" s="205"/>
      <c r="B101" s="585"/>
      <c r="C101" s="585"/>
      <c r="P101" s="3"/>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S101" s="287"/>
      <c r="CT101" s="287"/>
      <c r="CU101" s="287"/>
      <c r="CV101" s="287"/>
      <c r="CW101" s="287"/>
      <c r="CX101" s="287"/>
      <c r="CY101" s="287"/>
      <c r="CZ101" s="287"/>
      <c r="DA101" s="287"/>
      <c r="DB101" s="287"/>
      <c r="DC101" s="287"/>
      <c r="DD101" s="287"/>
      <c r="DE101" s="287"/>
      <c r="DF101" s="287"/>
      <c r="DG101" s="287"/>
      <c r="DH101" s="287"/>
      <c r="DI101" s="287"/>
      <c r="DJ101" s="287"/>
      <c r="DK101" s="287"/>
      <c r="DL101" s="287"/>
      <c r="DM101" s="287"/>
      <c r="DN101" s="287"/>
      <c r="DO101" s="287"/>
      <c r="DP101" s="287"/>
    </row>
    <row r="102" spans="1:120" s="21" customFormat="1" x14ac:dyDescent="0.25">
      <c r="A102" s="205"/>
      <c r="B102" s="585"/>
      <c r="C102" s="585"/>
      <c r="P102" s="3"/>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c r="BV102" s="287"/>
      <c r="BW102" s="287"/>
      <c r="BX102" s="287"/>
      <c r="BY102" s="287"/>
      <c r="BZ102" s="287"/>
      <c r="CA102" s="287"/>
      <c r="CB102" s="287"/>
      <c r="CC102" s="287"/>
      <c r="CD102" s="287"/>
      <c r="CE102" s="287"/>
      <c r="CF102" s="287"/>
      <c r="CG102" s="287"/>
      <c r="CH102" s="287"/>
      <c r="CI102" s="287"/>
      <c r="CJ102" s="287"/>
      <c r="CK102" s="287"/>
      <c r="CL102" s="287"/>
      <c r="CM102" s="287"/>
      <c r="CN102" s="287"/>
      <c r="CO102" s="287"/>
      <c r="CP102" s="287"/>
      <c r="CQ102" s="287"/>
      <c r="CR102" s="287"/>
      <c r="CS102" s="287"/>
      <c r="CT102" s="287"/>
      <c r="CU102" s="287"/>
      <c r="CV102" s="287"/>
      <c r="CW102" s="287"/>
      <c r="CX102" s="287"/>
      <c r="CY102" s="287"/>
      <c r="CZ102" s="287"/>
      <c r="DA102" s="287"/>
      <c r="DB102" s="287"/>
      <c r="DC102" s="287"/>
      <c r="DD102" s="287"/>
      <c r="DE102" s="287"/>
      <c r="DF102" s="287"/>
      <c r="DG102" s="287"/>
      <c r="DH102" s="287"/>
      <c r="DI102" s="287"/>
      <c r="DJ102" s="287"/>
      <c r="DK102" s="287"/>
      <c r="DL102" s="287"/>
      <c r="DM102" s="287"/>
      <c r="DN102" s="287"/>
      <c r="DO102" s="287"/>
      <c r="DP102" s="287"/>
    </row>
    <row r="103" spans="1:120" s="202" customFormat="1" ht="15" customHeight="1" x14ac:dyDescent="0.25">
      <c r="A103" s="13"/>
      <c r="P103" s="3"/>
      <c r="Q103" s="200"/>
      <c r="BA103" s="287"/>
      <c r="BB103" s="287"/>
      <c r="BC103" s="287"/>
      <c r="BD103" s="287"/>
      <c r="BE103" s="287"/>
      <c r="BF103" s="287"/>
      <c r="BG103" s="287"/>
      <c r="BH103" s="287"/>
      <c r="BI103" s="287"/>
      <c r="BJ103" s="287"/>
      <c r="BK103" s="287"/>
      <c r="BL103" s="287"/>
      <c r="BM103" s="502"/>
      <c r="BN103" s="502"/>
      <c r="BO103" s="502"/>
      <c r="BP103" s="502"/>
      <c r="BQ103" s="502"/>
      <c r="BR103" s="287"/>
      <c r="BS103" s="287"/>
      <c r="BT103" s="287"/>
      <c r="BU103" s="287"/>
      <c r="BV103" s="287"/>
      <c r="BW103" s="287"/>
      <c r="BX103" s="287"/>
      <c r="BY103" s="287"/>
      <c r="BZ103" s="287"/>
      <c r="CA103" s="287"/>
      <c r="CB103" s="287"/>
      <c r="CC103" s="287"/>
      <c r="CD103" s="287"/>
      <c r="CE103" s="287"/>
      <c r="CF103" s="287"/>
      <c r="CG103" s="287"/>
      <c r="CH103" s="287"/>
      <c r="CI103" s="287"/>
      <c r="CJ103" s="287"/>
      <c r="CK103" s="287"/>
      <c r="CL103" s="287"/>
      <c r="CM103" s="287"/>
      <c r="CN103" s="287"/>
      <c r="CO103" s="287"/>
      <c r="CP103" s="287"/>
      <c r="CQ103" s="287"/>
      <c r="CR103" s="287"/>
      <c r="CS103" s="287"/>
      <c r="CT103" s="287"/>
      <c r="CU103" s="287"/>
      <c r="CV103" s="287"/>
      <c r="CW103" s="287"/>
      <c r="CX103" s="287"/>
      <c r="CY103" s="287"/>
      <c r="CZ103" s="287"/>
      <c r="DA103" s="287"/>
      <c r="DB103" s="287"/>
      <c r="DC103" s="287"/>
      <c r="DD103" s="287"/>
      <c r="DE103" s="287"/>
      <c r="DF103" s="287"/>
      <c r="DG103" s="287"/>
      <c r="DH103" s="287"/>
      <c r="DI103" s="287"/>
      <c r="DJ103" s="287"/>
      <c r="DK103" s="287"/>
      <c r="DL103" s="287"/>
      <c r="DM103" s="287"/>
      <c r="DN103" s="287"/>
      <c r="DO103" s="287"/>
      <c r="DP103" s="287"/>
    </row>
    <row r="104" spans="1:120" s="21" customFormat="1" ht="15" customHeight="1" x14ac:dyDescent="0.25">
      <c r="A104" s="205"/>
      <c r="P104" s="3"/>
      <c r="Q104" s="200"/>
      <c r="R104" s="23"/>
      <c r="S104" s="23"/>
      <c r="T104" s="23"/>
      <c r="U104" s="23"/>
      <c r="V104" s="23"/>
      <c r="W104" s="23"/>
      <c r="X104" s="23"/>
      <c r="Y104" s="23"/>
      <c r="BA104" s="287"/>
      <c r="BB104" s="287"/>
      <c r="BC104" s="287"/>
      <c r="BD104" s="287"/>
      <c r="BE104" s="287"/>
      <c r="BF104" s="287"/>
      <c r="BG104" s="287"/>
      <c r="BH104" s="287"/>
      <c r="BI104" s="287"/>
      <c r="BJ104" s="287"/>
      <c r="BK104" s="287"/>
      <c r="BL104" s="287"/>
      <c r="BM104" s="502"/>
      <c r="BN104" s="502"/>
      <c r="BO104" s="502"/>
      <c r="BP104" s="502"/>
      <c r="BQ104" s="502"/>
      <c r="BR104" s="503"/>
      <c r="BS104" s="287"/>
      <c r="BT104" s="287"/>
      <c r="BU104" s="287"/>
      <c r="BV104" s="287"/>
      <c r="BW104" s="287"/>
      <c r="BX104" s="287"/>
      <c r="BY104" s="287"/>
      <c r="BZ104" s="287"/>
      <c r="CA104" s="287"/>
      <c r="CB104" s="503"/>
      <c r="CC104" s="503"/>
      <c r="CD104" s="503"/>
      <c r="CE104" s="503"/>
      <c r="CF104" s="503"/>
      <c r="CG104" s="287"/>
      <c r="CH104" s="287"/>
      <c r="CI104" s="287"/>
      <c r="CJ104" s="287"/>
      <c r="CK104" s="287"/>
      <c r="CL104" s="287"/>
      <c r="CM104" s="287"/>
      <c r="CN104" s="287"/>
      <c r="CO104" s="287"/>
      <c r="CP104" s="287"/>
      <c r="CQ104" s="287"/>
      <c r="CR104" s="287"/>
      <c r="CS104" s="287"/>
      <c r="CT104" s="287"/>
      <c r="CU104" s="287"/>
      <c r="CV104" s="287"/>
      <c r="CW104" s="287"/>
      <c r="CX104" s="287"/>
      <c r="CY104" s="287"/>
      <c r="CZ104" s="287"/>
      <c r="DA104" s="287"/>
      <c r="DB104" s="287"/>
      <c r="DC104" s="287"/>
      <c r="DD104" s="287"/>
      <c r="DE104" s="287"/>
      <c r="DF104" s="287"/>
      <c r="DG104" s="287"/>
      <c r="DH104" s="287"/>
      <c r="DI104" s="287"/>
      <c r="DJ104" s="287"/>
      <c r="DK104" s="287"/>
      <c r="DL104" s="287"/>
      <c r="DM104" s="287"/>
      <c r="DN104" s="287"/>
      <c r="DO104" s="287"/>
      <c r="DP104" s="287"/>
    </row>
    <row r="105" spans="1:120" s="85" customFormat="1" ht="15" customHeight="1" x14ac:dyDescent="0.25">
      <c r="A105" s="205"/>
      <c r="B105" s="19"/>
      <c r="C105" s="20">
        <f>$D$16</f>
        <v>0</v>
      </c>
      <c r="D105" s="618">
        <f>$D$18</f>
        <v>0</v>
      </c>
      <c r="E105" s="618"/>
      <c r="F105" s="618"/>
      <c r="G105" s="618"/>
      <c r="H105" s="618"/>
      <c r="I105" s="618"/>
      <c r="J105" s="618"/>
      <c r="K105" s="618"/>
      <c r="M105" s="13"/>
      <c r="P105" s="669" t="str">
        <f>IF(P107&lt;&gt;"",$D$16,"")</f>
        <v/>
      </c>
      <c r="Q105" s="669"/>
      <c r="R105" s="643" t="str">
        <f>IF(P107&lt;&gt;"",$D$18,"")</f>
        <v/>
      </c>
      <c r="S105" s="643"/>
      <c r="T105" s="643"/>
      <c r="U105" s="643"/>
      <c r="V105" s="643"/>
      <c r="W105" s="643"/>
      <c r="X105" s="643"/>
      <c r="Y105" s="643"/>
      <c r="Z105" s="643"/>
      <c r="AA105" s="643"/>
      <c r="AI105" s="432"/>
      <c r="AJ105" s="432"/>
      <c r="AK105" s="432"/>
      <c r="AL105" s="432"/>
      <c r="AM105" s="432"/>
      <c r="AN105" s="432"/>
      <c r="AO105" s="432"/>
      <c r="AP105" s="432"/>
      <c r="AQ105" s="432"/>
      <c r="AR105" s="432"/>
      <c r="AS105" s="432"/>
      <c r="AT105" s="432"/>
      <c r="BA105" s="498"/>
      <c r="BB105" s="498"/>
      <c r="BC105" s="498"/>
      <c r="BD105" s="498"/>
      <c r="BE105" s="498"/>
      <c r="BF105" s="498"/>
      <c r="BG105" s="498"/>
      <c r="BH105" s="498"/>
      <c r="BI105" s="498"/>
      <c r="BJ105" s="498"/>
      <c r="BK105" s="498"/>
      <c r="BL105" s="498"/>
      <c r="BM105" s="502"/>
      <c r="BN105" s="502"/>
      <c r="BO105" s="502"/>
      <c r="BP105" s="502"/>
      <c r="BQ105" s="502"/>
      <c r="BR105" s="287"/>
      <c r="BS105" s="287"/>
      <c r="BT105" s="613"/>
      <c r="BU105" s="613"/>
      <c r="BV105" s="612"/>
      <c r="BW105" s="612"/>
      <c r="BX105" s="612"/>
      <c r="BY105" s="612"/>
      <c r="BZ105" s="612"/>
      <c r="CA105" s="503"/>
      <c r="CB105" s="503"/>
      <c r="CC105" s="503"/>
      <c r="CD105" s="503"/>
      <c r="CE105" s="503"/>
      <c r="CF105" s="509"/>
      <c r="CG105" s="287"/>
      <c r="CH105" s="287"/>
      <c r="CI105" s="287"/>
      <c r="CJ105" s="287"/>
      <c r="CK105" s="287"/>
      <c r="CL105" s="287"/>
      <c r="CM105" s="287"/>
      <c r="CN105" s="287"/>
      <c r="CO105" s="287"/>
      <c r="CP105" s="287"/>
      <c r="CQ105" s="287"/>
      <c r="CR105" s="287"/>
      <c r="CS105" s="287"/>
      <c r="CT105" s="287"/>
      <c r="CU105" s="287"/>
      <c r="CV105" s="287"/>
      <c r="CW105" s="287"/>
      <c r="CX105" s="287"/>
      <c r="CY105" s="287"/>
      <c r="CZ105" s="287"/>
      <c r="DA105" s="287"/>
      <c r="DB105" s="287"/>
      <c r="DC105" s="287"/>
      <c r="DD105" s="287"/>
      <c r="DE105" s="287"/>
      <c r="DF105" s="287"/>
      <c r="DG105" s="287"/>
      <c r="DH105" s="287"/>
      <c r="DI105" s="287"/>
      <c r="DJ105" s="287"/>
      <c r="DK105" s="287"/>
      <c r="DL105" s="287"/>
      <c r="DM105" s="287"/>
      <c r="DN105" s="287"/>
      <c r="DO105" s="287"/>
      <c r="DP105" s="287"/>
    </row>
    <row r="106" spans="1:120" s="85" customFormat="1" ht="45" customHeight="1" x14ac:dyDescent="0.25">
      <c r="A106" s="205"/>
      <c r="B106" s="585"/>
      <c r="C106" s="585"/>
      <c r="P106" s="3"/>
      <c r="R106" s="219" t="str">
        <f>IF(P107&lt;&gt;"","Positive Placement","")</f>
        <v/>
      </c>
      <c r="S106" s="480"/>
      <c r="T106" s="480"/>
      <c r="U106" s="617" t="str">
        <f>IF(P107&lt;&gt;"","          Link to Available Resource Document      (optional)
CoAEMSP website =&gt; Resource Library =&gt; Instruments &amp; Forms","")</f>
        <v/>
      </c>
      <c r="V106" s="617"/>
      <c r="W106" s="617"/>
      <c r="X106" s="617"/>
      <c r="Y106" s="617"/>
      <c r="Z106" s="617"/>
      <c r="AK106" s="432"/>
      <c r="AL106" s="432"/>
      <c r="AM106" s="432"/>
      <c r="AN106" s="432"/>
      <c r="AO106" s="432"/>
      <c r="BA106" s="287"/>
      <c r="BB106" s="287"/>
      <c r="BC106" s="498"/>
      <c r="BD106" s="498"/>
      <c r="BE106" s="498"/>
      <c r="BF106" s="498"/>
      <c r="BG106" s="498"/>
      <c r="BH106" s="287"/>
      <c r="BI106" s="287"/>
      <c r="BJ106" s="287"/>
      <c r="BK106" s="287"/>
      <c r="BL106" s="287"/>
      <c r="BM106" s="503"/>
      <c r="BN106" s="503"/>
      <c r="BO106" s="503"/>
      <c r="BP106" s="503"/>
      <c r="BQ106" s="503"/>
      <c r="BR106" s="287"/>
      <c r="BS106" s="287"/>
      <c r="BT106" s="287"/>
      <c r="BU106" s="287"/>
      <c r="BV106" s="612"/>
      <c r="BW106" s="612"/>
      <c r="BX106" s="612"/>
      <c r="BY106" s="612"/>
      <c r="BZ106" s="612"/>
      <c r="CA106" s="503"/>
      <c r="CB106" s="503"/>
      <c r="CC106" s="503"/>
      <c r="CD106" s="503"/>
      <c r="CE106" s="503"/>
      <c r="CF106" s="287"/>
      <c r="CG106" s="287"/>
      <c r="CH106" s="287"/>
      <c r="CI106" s="287"/>
      <c r="CJ106" s="287"/>
      <c r="CK106" s="287"/>
      <c r="CL106" s="287"/>
      <c r="CM106" s="287"/>
      <c r="CN106" s="287"/>
      <c r="CO106" s="287"/>
      <c r="CP106" s="287"/>
      <c r="CQ106" s="287"/>
      <c r="CR106" s="287"/>
      <c r="CS106" s="287"/>
      <c r="CT106" s="287"/>
      <c r="CU106" s="287"/>
      <c r="CV106" s="287"/>
      <c r="CW106" s="287"/>
      <c r="CX106" s="287"/>
      <c r="CY106" s="287"/>
      <c r="CZ106" s="287"/>
      <c r="DA106" s="287"/>
      <c r="DB106" s="287"/>
      <c r="DC106" s="287"/>
      <c r="DD106" s="287"/>
      <c r="DE106" s="287"/>
      <c r="DF106" s="287"/>
      <c r="DG106" s="287"/>
      <c r="DH106" s="287"/>
      <c r="DI106" s="287"/>
      <c r="DJ106" s="287"/>
      <c r="DK106" s="287"/>
      <c r="DL106" s="287"/>
      <c r="DM106" s="287"/>
      <c r="DN106" s="287"/>
      <c r="DO106" s="287"/>
      <c r="DP106" s="287"/>
    </row>
    <row r="107" spans="1:120" s="85" customFormat="1" ht="27.75" customHeight="1" x14ac:dyDescent="0.25">
      <c r="A107" s="205"/>
      <c r="B107" s="84"/>
      <c r="C107" s="84"/>
      <c r="D107" s="84"/>
      <c r="E107" s="84"/>
      <c r="F107" s="87"/>
      <c r="G107" s="516"/>
      <c r="H107" s="516"/>
      <c r="P107" s="649" t="str">
        <f>IF(AND(B119="The outcome threshold of 70% has not been met.  
Completion of the analysis and action plan boxes to the right are required ==&gt;",B120=""),"1)","")</f>
        <v/>
      </c>
      <c r="Q107" s="428"/>
      <c r="R107" s="428"/>
      <c r="S107" s="428"/>
      <c r="T107" s="428"/>
      <c r="U107" s="428"/>
      <c r="V107" s="670" t="str">
        <f>IF(P107&lt;&gt;"","Program Review &amp; Analysis","")</f>
        <v/>
      </c>
      <c r="W107" s="670"/>
      <c r="X107" s="670"/>
      <c r="Y107" s="430"/>
      <c r="Z107" s="428"/>
      <c r="AA107" s="436"/>
      <c r="AB107" s="436"/>
      <c r="AC107" s="436"/>
      <c r="AD107" s="436"/>
      <c r="AE107" s="436"/>
      <c r="AF107" s="436"/>
      <c r="AG107" s="436"/>
      <c r="AH107" s="287"/>
      <c r="AI107" s="436"/>
      <c r="AJ107" s="436"/>
      <c r="AK107" s="436"/>
      <c r="AL107" s="436"/>
      <c r="AM107" s="436"/>
      <c r="AN107" s="436"/>
      <c r="AO107" s="436"/>
      <c r="AP107" s="287"/>
      <c r="AQ107" s="628"/>
      <c r="AR107" s="436"/>
      <c r="AS107" s="436"/>
      <c r="AT107" s="436"/>
      <c r="AU107" s="436"/>
      <c r="AV107" s="436"/>
      <c r="AW107" s="436"/>
      <c r="AX107" s="436"/>
      <c r="AY107" s="436"/>
      <c r="AZ107" s="628"/>
      <c r="BA107" s="493"/>
      <c r="BB107" s="493"/>
      <c r="BC107" s="493"/>
      <c r="BD107" s="493"/>
      <c r="BE107" s="493"/>
      <c r="BF107" s="493"/>
      <c r="BG107" s="493"/>
      <c r="BH107" s="493"/>
      <c r="BI107" s="287"/>
      <c r="BJ107" s="493"/>
      <c r="BK107" s="493"/>
      <c r="BL107" s="493"/>
      <c r="BM107" s="493"/>
      <c r="BN107" s="493"/>
      <c r="BO107" s="493"/>
      <c r="BP107" s="493"/>
      <c r="BQ107" s="287"/>
      <c r="BR107" s="287"/>
      <c r="BS107" s="287"/>
      <c r="BT107" s="287"/>
      <c r="BU107" s="287"/>
      <c r="BV107" s="287"/>
      <c r="BW107" s="287"/>
      <c r="BX107" s="287"/>
      <c r="BY107" s="287"/>
      <c r="BZ107" s="287"/>
      <c r="CA107" s="287"/>
      <c r="CB107" s="287"/>
      <c r="CC107" s="287"/>
      <c r="CD107" s="287"/>
      <c r="CE107" s="287"/>
      <c r="CF107" s="287"/>
      <c r="CG107" s="287"/>
      <c r="CH107" s="287"/>
      <c r="CI107" s="287"/>
      <c r="CJ107" s="287"/>
      <c r="CK107" s="287"/>
      <c r="CL107" s="287"/>
      <c r="CM107" s="287"/>
      <c r="CN107" s="287"/>
      <c r="CO107" s="287"/>
      <c r="CP107" s="287"/>
      <c r="CQ107" s="287"/>
      <c r="CR107" s="287"/>
      <c r="CS107" s="287"/>
      <c r="CT107" s="287"/>
      <c r="CU107" s="287"/>
      <c r="CV107" s="287"/>
      <c r="CW107" s="287"/>
      <c r="CX107" s="287"/>
      <c r="CY107" s="287"/>
      <c r="CZ107" s="287"/>
      <c r="DA107" s="287"/>
      <c r="DB107" s="287"/>
      <c r="DC107" s="287"/>
      <c r="DD107" s="287"/>
      <c r="DE107" s="287"/>
      <c r="DF107" s="287"/>
      <c r="DG107" s="287"/>
      <c r="DH107" s="287"/>
      <c r="DI107" s="287"/>
      <c r="DJ107" s="287"/>
      <c r="DK107" s="287"/>
      <c r="DL107" s="287"/>
      <c r="DM107" s="287"/>
      <c r="DN107" s="287"/>
      <c r="DO107" s="287"/>
      <c r="DP107" s="287"/>
    </row>
    <row r="108" spans="1:120" s="85" customFormat="1" ht="15" customHeight="1" x14ac:dyDescent="0.25">
      <c r="A108" s="205"/>
      <c r="P108" s="649"/>
      <c r="Q108" s="428"/>
      <c r="R108" s="656" t="str">
        <f>IF(P107&lt;&gt;"","REQUIRED: A detailed ANALYSIS for the Positive Placement outcome in the box below","")</f>
        <v/>
      </c>
      <c r="S108" s="656"/>
      <c r="T108" s="656"/>
      <c r="U108" s="656"/>
      <c r="V108" s="656"/>
      <c r="W108" s="656"/>
      <c r="X108" s="656"/>
      <c r="Y108" s="656"/>
      <c r="Z108" s="656"/>
      <c r="AA108" s="436"/>
      <c r="AB108" s="436"/>
      <c r="AC108" s="436"/>
      <c r="AD108" s="436"/>
      <c r="AE108" s="436"/>
      <c r="AF108" s="436"/>
      <c r="AG108" s="436"/>
      <c r="AH108" s="447"/>
      <c r="AI108" s="436"/>
      <c r="AJ108" s="436"/>
      <c r="AK108" s="436"/>
      <c r="AL108" s="436"/>
      <c r="AM108" s="436"/>
      <c r="AN108" s="436"/>
      <c r="AO108" s="436"/>
      <c r="AP108" s="453"/>
      <c r="AQ108" s="628"/>
      <c r="AR108" s="436"/>
      <c r="AS108" s="436"/>
      <c r="AT108" s="436"/>
      <c r="AU108" s="436"/>
      <c r="AV108" s="436"/>
      <c r="AW108" s="436"/>
      <c r="AX108" s="436"/>
      <c r="AY108" s="436"/>
      <c r="AZ108" s="628"/>
      <c r="BA108" s="493"/>
      <c r="BB108" s="493"/>
      <c r="BC108" s="493"/>
      <c r="BD108" s="493"/>
      <c r="BE108" s="493"/>
      <c r="BF108" s="493"/>
      <c r="BG108" s="493"/>
      <c r="BH108" s="493"/>
      <c r="BI108" s="491"/>
      <c r="BJ108" s="493"/>
      <c r="BK108" s="493"/>
      <c r="BL108" s="493"/>
      <c r="BM108" s="493"/>
      <c r="BN108" s="493"/>
      <c r="BO108" s="493"/>
      <c r="BP108" s="493"/>
      <c r="BQ108" s="453"/>
      <c r="BR108" s="453"/>
      <c r="BS108" s="453"/>
      <c r="BT108" s="287"/>
      <c r="BU108" s="491"/>
      <c r="BV108" s="621"/>
      <c r="BW108" s="621"/>
      <c r="BX108" s="621"/>
      <c r="BY108" s="621"/>
      <c r="BZ108" s="621"/>
      <c r="CA108" s="621"/>
      <c r="CB108" s="621"/>
      <c r="CC108" s="621"/>
      <c r="CD108" s="621"/>
      <c r="CE108" s="621"/>
      <c r="CF108" s="287"/>
      <c r="CG108" s="287"/>
      <c r="CH108" s="287"/>
      <c r="CI108" s="287"/>
      <c r="CJ108" s="287"/>
      <c r="CK108" s="287"/>
      <c r="CL108" s="287"/>
      <c r="CM108" s="287"/>
      <c r="CN108" s="287"/>
      <c r="CO108" s="287"/>
      <c r="CP108" s="287"/>
      <c r="CQ108" s="287"/>
      <c r="CR108" s="287"/>
      <c r="CS108" s="287"/>
      <c r="CT108" s="287"/>
      <c r="CU108" s="287"/>
      <c r="CV108" s="287"/>
      <c r="CW108" s="287"/>
      <c r="CX108" s="287"/>
      <c r="CY108" s="287"/>
      <c r="CZ108" s="287"/>
      <c r="DA108" s="287"/>
      <c r="DB108" s="287"/>
      <c r="DC108" s="287"/>
      <c r="DD108" s="287"/>
      <c r="DE108" s="287"/>
      <c r="DF108" s="287"/>
      <c r="DG108" s="287"/>
      <c r="DH108" s="287"/>
      <c r="DI108" s="287"/>
      <c r="DJ108" s="287"/>
      <c r="DK108" s="287"/>
      <c r="DL108" s="287"/>
      <c r="DM108" s="287"/>
      <c r="DN108" s="287"/>
      <c r="DO108" s="287"/>
      <c r="DP108" s="287"/>
    </row>
    <row r="109" spans="1:120" s="85" customFormat="1" ht="23.25" customHeight="1" x14ac:dyDescent="0.25">
      <c r="A109" s="205"/>
      <c r="B109" s="90" t="s">
        <v>102</v>
      </c>
      <c r="C109" s="91"/>
      <c r="D109" s="91"/>
      <c r="E109" s="91"/>
      <c r="F109" s="91"/>
      <c r="G109" s="91"/>
      <c r="H109" s="91"/>
      <c r="I109" s="91"/>
      <c r="J109" s="91"/>
      <c r="K109" s="91"/>
      <c r="L109" s="91"/>
      <c r="M109" s="91"/>
      <c r="N109" s="92"/>
      <c r="P109" s="404"/>
      <c r="Q109" s="446"/>
      <c r="R109" s="655"/>
      <c r="S109" s="655"/>
      <c r="T109" s="655"/>
      <c r="U109" s="655"/>
      <c r="V109" s="655"/>
      <c r="W109" s="655"/>
      <c r="X109" s="655"/>
      <c r="Y109" s="655"/>
      <c r="Z109" s="655"/>
      <c r="AA109" s="457"/>
      <c r="AB109" s="448"/>
      <c r="AC109" s="448"/>
      <c r="AD109" s="448"/>
      <c r="AE109" s="448"/>
      <c r="AF109" s="269"/>
      <c r="AG109" s="263"/>
      <c r="AH109" s="287"/>
      <c r="AI109" s="448"/>
      <c r="AJ109" s="448"/>
      <c r="AK109" s="448"/>
      <c r="AL109" s="448"/>
      <c r="AM109" s="448"/>
      <c r="AN109" s="448"/>
      <c r="AO109" s="448"/>
      <c r="AP109" s="263"/>
      <c r="AQ109" s="287"/>
      <c r="AR109" s="458"/>
      <c r="AS109" s="458"/>
      <c r="AT109" s="458"/>
      <c r="AU109" s="458"/>
      <c r="AV109" s="458"/>
      <c r="AW109" s="458"/>
      <c r="AX109" s="458"/>
      <c r="AY109" s="431"/>
      <c r="AZ109" s="287"/>
      <c r="BA109" s="494"/>
      <c r="BB109" s="494"/>
      <c r="BC109" s="494"/>
      <c r="BD109" s="494"/>
      <c r="BE109" s="494"/>
      <c r="BF109" s="494"/>
      <c r="BG109" s="494"/>
      <c r="BH109" s="496"/>
      <c r="BI109" s="287"/>
      <c r="BJ109" s="437"/>
      <c r="BK109" s="437"/>
      <c r="BL109" s="287"/>
      <c r="BM109" s="287"/>
      <c r="BN109" s="287"/>
      <c r="BO109" s="287"/>
      <c r="BP109" s="287"/>
      <c r="BQ109" s="287"/>
      <c r="BR109" s="287"/>
      <c r="BS109" s="287"/>
      <c r="BT109" s="287"/>
      <c r="BU109" s="287"/>
      <c r="BV109" s="437"/>
      <c r="BW109" s="437"/>
      <c r="BX109" s="287"/>
      <c r="BY109" s="287"/>
      <c r="BZ109" s="287"/>
      <c r="CA109" s="287"/>
      <c r="CB109" s="287"/>
      <c r="CC109" s="287"/>
      <c r="CD109" s="287"/>
      <c r="CE109" s="287"/>
      <c r="CF109" s="287"/>
      <c r="CG109" s="287"/>
      <c r="CH109" s="287"/>
      <c r="CI109" s="287"/>
      <c r="CJ109" s="287"/>
      <c r="CK109" s="287"/>
      <c r="CL109" s="287"/>
      <c r="CM109" s="287"/>
      <c r="CN109" s="287"/>
      <c r="CO109" s="287"/>
      <c r="CP109" s="287"/>
      <c r="CQ109" s="287"/>
      <c r="CR109" s="287"/>
      <c r="CS109" s="287"/>
      <c r="CT109" s="287"/>
      <c r="CU109" s="287"/>
      <c r="CV109" s="287"/>
      <c r="CW109" s="287"/>
      <c r="CX109" s="287"/>
      <c r="CY109" s="287"/>
      <c r="CZ109" s="287"/>
      <c r="DA109" s="287"/>
      <c r="DB109" s="287"/>
      <c r="DC109" s="287"/>
      <c r="DD109" s="287"/>
      <c r="DE109" s="287"/>
      <c r="DF109" s="287"/>
      <c r="DG109" s="287"/>
      <c r="DH109" s="287"/>
      <c r="DI109" s="287"/>
      <c r="DJ109" s="287"/>
      <c r="DK109" s="287"/>
      <c r="DL109" s="287"/>
      <c r="DM109" s="287"/>
      <c r="DN109" s="287"/>
      <c r="DO109" s="287"/>
      <c r="DP109" s="287"/>
    </row>
    <row r="110" spans="1:120" s="85" customFormat="1" ht="62.25" customHeight="1" x14ac:dyDescent="0.25">
      <c r="A110" s="205"/>
      <c r="B110" s="658" t="s">
        <v>147</v>
      </c>
      <c r="C110" s="659"/>
      <c r="D110" s="659"/>
      <c r="E110" s="659"/>
      <c r="F110" s="659"/>
      <c r="G110" s="659"/>
      <c r="H110" s="659"/>
      <c r="I110" s="659"/>
      <c r="J110" s="659"/>
      <c r="K110" s="659"/>
      <c r="L110" s="659"/>
      <c r="M110" s="659"/>
      <c r="N110" s="660"/>
      <c r="P110" s="3"/>
      <c r="Q110" s="446"/>
      <c r="R110" s="655"/>
      <c r="S110" s="655"/>
      <c r="T110" s="655"/>
      <c r="U110" s="655"/>
      <c r="V110" s="655"/>
      <c r="W110" s="655"/>
      <c r="X110" s="655"/>
      <c r="Y110" s="655"/>
      <c r="Z110" s="655"/>
      <c r="AA110" s="484" t="str">
        <f>IF(AB110=1, "&lt;===", "")</f>
        <v/>
      </c>
      <c r="AB110" s="485" t="str">
        <f>IF(AND(P107&lt;&gt;"",R109="", D432&lt;&gt;""),1, "")</f>
        <v/>
      </c>
      <c r="AC110" s="443"/>
      <c r="AD110" s="443"/>
      <c r="AE110" s="443"/>
      <c r="AF110" s="443"/>
      <c r="AG110" s="448"/>
      <c r="AH110" s="287"/>
      <c r="AI110" s="448"/>
      <c r="AJ110" s="448"/>
      <c r="AK110" s="448"/>
      <c r="AL110" s="448"/>
      <c r="AM110" s="448"/>
      <c r="AN110" s="448"/>
      <c r="AO110" s="448"/>
      <c r="AP110" s="269"/>
      <c r="AQ110" s="287"/>
      <c r="AR110" s="458"/>
      <c r="AS110" s="458"/>
      <c r="AT110" s="458"/>
      <c r="AU110" s="458"/>
      <c r="AV110" s="458"/>
      <c r="AW110" s="458"/>
      <c r="AX110" s="458"/>
      <c r="AY110" s="267"/>
      <c r="AZ110" s="287"/>
      <c r="BA110" s="494"/>
      <c r="BB110" s="494"/>
      <c r="BC110" s="494"/>
      <c r="BD110" s="494"/>
      <c r="BE110" s="494"/>
      <c r="BF110" s="494"/>
      <c r="BG110" s="494"/>
      <c r="BH110" s="269"/>
      <c r="BI110" s="512"/>
      <c r="BJ110" s="500"/>
      <c r="BK110" s="500"/>
      <c r="BL110" s="500"/>
      <c r="BM110" s="500"/>
      <c r="BN110" s="500"/>
      <c r="BO110" s="500"/>
      <c r="BP110" s="500"/>
      <c r="BQ110" s="500"/>
      <c r="BR110" s="287"/>
      <c r="BS110" s="287"/>
      <c r="BT110" s="287"/>
      <c r="BU110" s="287"/>
      <c r="BV110" s="493"/>
      <c r="BW110" s="493"/>
      <c r="BX110" s="493"/>
      <c r="BY110" s="493"/>
      <c r="BZ110" s="493"/>
      <c r="CA110" s="493"/>
      <c r="CB110" s="493"/>
      <c r="CC110" s="493"/>
      <c r="CD110" s="493"/>
      <c r="CE110" s="493"/>
      <c r="CF110" s="287"/>
      <c r="CG110" s="287"/>
      <c r="CH110" s="287"/>
      <c r="CI110" s="287"/>
      <c r="CJ110" s="287"/>
      <c r="CK110" s="287"/>
      <c r="CL110" s="287"/>
      <c r="CM110" s="287"/>
      <c r="CN110" s="287"/>
      <c r="CO110" s="287"/>
      <c r="CP110" s="287"/>
      <c r="CQ110" s="287"/>
      <c r="CR110" s="287"/>
      <c r="CS110" s="287"/>
      <c r="CT110" s="287"/>
      <c r="CU110" s="287"/>
      <c r="CV110" s="287"/>
      <c r="CW110" s="287"/>
      <c r="CX110" s="287"/>
      <c r="CY110" s="287"/>
      <c r="CZ110" s="287"/>
      <c r="DA110" s="287"/>
      <c r="DB110" s="287"/>
      <c r="DC110" s="287"/>
      <c r="DD110" s="287"/>
      <c r="DE110" s="287"/>
      <c r="DF110" s="287"/>
      <c r="DG110" s="287"/>
      <c r="DH110" s="287"/>
      <c r="DI110" s="287"/>
      <c r="DJ110" s="287"/>
      <c r="DK110" s="287"/>
      <c r="DL110" s="287"/>
      <c r="DM110" s="287"/>
      <c r="DN110" s="287"/>
      <c r="DO110" s="287"/>
      <c r="DP110" s="287"/>
    </row>
    <row r="111" spans="1:120" s="85" customFormat="1" ht="41.25" customHeight="1" x14ac:dyDescent="0.25">
      <c r="A111" s="205"/>
      <c r="B111" s="666" t="s">
        <v>91</v>
      </c>
      <c r="C111" s="667"/>
      <c r="D111" s="668"/>
      <c r="E111" s="93" t="str">
        <f>E56</f>
        <v/>
      </c>
      <c r="F111" s="93" t="str">
        <f t="shared" ref="F111:L111" si="12">F56</f>
        <v/>
      </c>
      <c r="G111" s="93" t="str">
        <f t="shared" si="12"/>
        <v/>
      </c>
      <c r="H111" s="93" t="str">
        <f t="shared" si="12"/>
        <v/>
      </c>
      <c r="I111" s="93" t="str">
        <f t="shared" si="12"/>
        <v/>
      </c>
      <c r="J111" s="93" t="str">
        <f t="shared" si="12"/>
        <v/>
      </c>
      <c r="K111" s="93" t="str">
        <f t="shared" si="12"/>
        <v/>
      </c>
      <c r="L111" s="93" t="str">
        <f t="shared" si="12"/>
        <v/>
      </c>
      <c r="M111" s="93" t="str">
        <f>M56</f>
        <v/>
      </c>
      <c r="N111" s="93" t="s">
        <v>12</v>
      </c>
      <c r="P111" s="225"/>
      <c r="Q111" s="446"/>
      <c r="R111" s="655"/>
      <c r="S111" s="655"/>
      <c r="T111" s="655"/>
      <c r="U111" s="655"/>
      <c r="V111" s="655"/>
      <c r="W111" s="655"/>
      <c r="X111" s="655"/>
      <c r="Y111" s="655"/>
      <c r="Z111" s="655"/>
      <c r="AA111" s="443"/>
      <c r="AB111" s="443"/>
      <c r="AC111" s="443"/>
      <c r="AD111" s="443"/>
      <c r="AE111" s="443"/>
      <c r="AF111" s="443"/>
      <c r="AG111" s="448"/>
      <c r="AH111" s="454"/>
      <c r="AI111" s="448"/>
      <c r="AJ111" s="448"/>
      <c r="AK111" s="448"/>
      <c r="AL111" s="448"/>
      <c r="AM111" s="448"/>
      <c r="AN111" s="448"/>
      <c r="AO111" s="448"/>
      <c r="AP111" s="448"/>
      <c r="AQ111" s="287"/>
      <c r="AR111" s="458"/>
      <c r="AS111" s="458"/>
      <c r="AT111" s="458"/>
      <c r="AU111" s="458"/>
      <c r="AV111" s="458"/>
      <c r="AW111" s="458"/>
      <c r="AX111" s="458"/>
      <c r="AY111" s="441"/>
      <c r="AZ111" s="287"/>
      <c r="BA111" s="494"/>
      <c r="BB111" s="494"/>
      <c r="BC111" s="494"/>
      <c r="BD111" s="494"/>
      <c r="BE111" s="494"/>
      <c r="BF111" s="494"/>
      <c r="BG111" s="494"/>
      <c r="BH111" s="495"/>
      <c r="BI111" s="509"/>
      <c r="BJ111" s="441"/>
      <c r="BK111" s="441"/>
      <c r="BL111" s="441"/>
      <c r="BM111" s="441"/>
      <c r="BN111" s="441"/>
      <c r="BO111" s="441"/>
      <c r="BP111" s="441"/>
      <c r="BQ111" s="441"/>
      <c r="BR111" s="441"/>
      <c r="BS111" s="441"/>
      <c r="BT111" s="287"/>
      <c r="BU111" s="287"/>
      <c r="BV111" s="509"/>
      <c r="BW111" s="509"/>
      <c r="BX111" s="509"/>
      <c r="BY111" s="509"/>
      <c r="BZ111" s="509"/>
      <c r="CA111" s="509"/>
      <c r="CB111" s="509"/>
      <c r="CC111" s="509"/>
      <c r="CD111" s="509"/>
      <c r="CE111" s="509"/>
      <c r="CF111" s="287"/>
      <c r="CG111" s="287"/>
      <c r="CH111" s="287"/>
      <c r="CI111" s="287"/>
      <c r="CJ111" s="287"/>
      <c r="CK111" s="287"/>
      <c r="CL111" s="287"/>
      <c r="CM111" s="287"/>
      <c r="CN111" s="287"/>
      <c r="CO111" s="287"/>
      <c r="CP111" s="287"/>
      <c r="CQ111" s="287"/>
      <c r="CR111" s="287"/>
      <c r="CS111" s="287"/>
      <c r="CT111" s="287"/>
      <c r="CU111" s="287"/>
      <c r="CV111" s="287"/>
      <c r="CW111" s="287"/>
      <c r="CX111" s="287"/>
      <c r="CY111" s="287"/>
      <c r="CZ111" s="287"/>
      <c r="DA111" s="287"/>
      <c r="DB111" s="287"/>
      <c r="DC111" s="287"/>
      <c r="DD111" s="287"/>
      <c r="DE111" s="287"/>
      <c r="DF111" s="287"/>
      <c r="DG111" s="287"/>
      <c r="DH111" s="287"/>
      <c r="DI111" s="287"/>
      <c r="DJ111" s="287"/>
      <c r="DK111" s="287"/>
      <c r="DL111" s="287"/>
      <c r="DM111" s="287"/>
      <c r="DN111" s="287"/>
      <c r="DO111" s="287"/>
      <c r="DP111" s="287"/>
    </row>
    <row r="112" spans="1:120" s="85" customFormat="1" ht="18" customHeight="1" x14ac:dyDescent="0.25">
      <c r="A112" s="205"/>
      <c r="B112" s="663" t="s">
        <v>14</v>
      </c>
      <c r="C112" s="664"/>
      <c r="D112" s="665"/>
      <c r="E112" s="94" t="str">
        <f>IF(ISBLANK(E57),"",E57)</f>
        <v/>
      </c>
      <c r="F112" s="94" t="str">
        <f t="shared" ref="F112:M112" si="13">IF(ISBLANK(F57),"",F57)</f>
        <v/>
      </c>
      <c r="G112" s="94" t="str">
        <f t="shared" si="13"/>
        <v/>
      </c>
      <c r="H112" s="94" t="str">
        <f t="shared" si="13"/>
        <v/>
      </c>
      <c r="I112" s="94" t="str">
        <f t="shared" si="13"/>
        <v/>
      </c>
      <c r="J112" s="94" t="str">
        <f t="shared" si="13"/>
        <v/>
      </c>
      <c r="K112" s="94" t="str">
        <f t="shared" si="13"/>
        <v/>
      </c>
      <c r="L112" s="94" t="str">
        <f t="shared" si="13"/>
        <v/>
      </c>
      <c r="M112" s="94" t="str">
        <f t="shared" si="13"/>
        <v/>
      </c>
      <c r="N112" s="95"/>
      <c r="P112" s="3"/>
      <c r="Q112" s="446"/>
      <c r="R112" s="655"/>
      <c r="S112" s="655"/>
      <c r="T112" s="655"/>
      <c r="U112" s="655"/>
      <c r="V112" s="655"/>
      <c r="W112" s="655"/>
      <c r="X112" s="655"/>
      <c r="Y112" s="655"/>
      <c r="Z112" s="655"/>
      <c r="AA112" s="457"/>
      <c r="AB112" s="448"/>
      <c r="AC112" s="448"/>
      <c r="AD112" s="448"/>
      <c r="AE112" s="448"/>
      <c r="AF112" s="269"/>
      <c r="AG112" s="263"/>
      <c r="AH112" s="287"/>
      <c r="AI112" s="448"/>
      <c r="AJ112" s="448"/>
      <c r="AK112" s="448"/>
      <c r="AL112" s="448"/>
      <c r="AM112" s="448"/>
      <c r="AN112" s="448"/>
      <c r="AO112" s="448"/>
      <c r="AP112" s="448"/>
      <c r="AQ112" s="287"/>
      <c r="AR112" s="458"/>
      <c r="AS112" s="458"/>
      <c r="AT112" s="458"/>
      <c r="AU112" s="458"/>
      <c r="AV112" s="458"/>
      <c r="AW112" s="458"/>
      <c r="AX112" s="458"/>
      <c r="AY112" s="441"/>
      <c r="AZ112" s="287"/>
      <c r="BA112" s="494"/>
      <c r="BB112" s="494"/>
      <c r="BC112" s="494"/>
      <c r="BD112" s="494"/>
      <c r="BE112" s="494"/>
      <c r="BF112" s="494"/>
      <c r="BG112" s="494"/>
      <c r="BH112" s="494"/>
      <c r="BI112" s="509"/>
      <c r="BJ112" s="441"/>
      <c r="BK112" s="441"/>
      <c r="BL112" s="441"/>
      <c r="BM112" s="441"/>
      <c r="BN112" s="441"/>
      <c r="BO112" s="441"/>
      <c r="BP112" s="441"/>
      <c r="BQ112" s="441"/>
      <c r="BR112" s="441"/>
      <c r="BS112" s="441"/>
      <c r="BT112" s="287"/>
      <c r="BU112" s="287"/>
      <c r="BV112" s="509"/>
      <c r="BW112" s="509"/>
      <c r="BX112" s="509"/>
      <c r="BY112" s="509"/>
      <c r="BZ112" s="509"/>
      <c r="CA112" s="509"/>
      <c r="CB112" s="509"/>
      <c r="CC112" s="509"/>
      <c r="CD112" s="509"/>
      <c r="CE112" s="509"/>
      <c r="CF112" s="287"/>
      <c r="CG112" s="287"/>
      <c r="CH112" s="287"/>
      <c r="CI112" s="287"/>
      <c r="CJ112" s="287"/>
      <c r="CK112" s="287"/>
      <c r="CL112" s="287"/>
      <c r="CM112" s="287"/>
      <c r="CN112" s="287"/>
      <c r="CO112" s="287"/>
      <c r="CP112" s="287"/>
      <c r="CQ112" s="287"/>
      <c r="CR112" s="287"/>
      <c r="CS112" s="287"/>
      <c r="CT112" s="287"/>
      <c r="CU112" s="287"/>
      <c r="CV112" s="287"/>
      <c r="CW112" s="287"/>
      <c r="CX112" s="287"/>
      <c r="CY112" s="287"/>
      <c r="CZ112" s="287"/>
      <c r="DA112" s="287"/>
      <c r="DB112" s="287"/>
      <c r="DC112" s="287"/>
      <c r="DD112" s="287"/>
      <c r="DE112" s="287"/>
      <c r="DF112" s="287"/>
      <c r="DG112" s="287"/>
      <c r="DH112" s="287"/>
      <c r="DI112" s="287"/>
      <c r="DJ112" s="287"/>
      <c r="DK112" s="287"/>
      <c r="DL112" s="287"/>
      <c r="DM112" s="287"/>
      <c r="DN112" s="287"/>
      <c r="DO112" s="287"/>
      <c r="DP112" s="287"/>
    </row>
    <row r="113" spans="1:148" s="85" customFormat="1" ht="18" customHeight="1" x14ac:dyDescent="0.25">
      <c r="A113" s="205"/>
      <c r="B113" s="598" t="s">
        <v>11</v>
      </c>
      <c r="C113" s="599"/>
      <c r="D113" s="26"/>
      <c r="E113" s="130" t="str">
        <f>IF(ISBLANK(E58),"",E58)</f>
        <v/>
      </c>
      <c r="F113" s="130" t="str">
        <f t="shared" ref="F113:M113" si="14">IF(ISBLANK(F58),"",F58)</f>
        <v/>
      </c>
      <c r="G113" s="130" t="str">
        <f t="shared" si="14"/>
        <v/>
      </c>
      <c r="H113" s="130" t="str">
        <f t="shared" si="14"/>
        <v/>
      </c>
      <c r="I113" s="130" t="str">
        <f t="shared" si="14"/>
        <v/>
      </c>
      <c r="J113" s="130" t="str">
        <f t="shared" si="14"/>
        <v/>
      </c>
      <c r="K113" s="130" t="str">
        <f t="shared" si="14"/>
        <v/>
      </c>
      <c r="L113" s="130" t="str">
        <f t="shared" si="14"/>
        <v/>
      </c>
      <c r="M113" s="130" t="str">
        <f t="shared" si="14"/>
        <v/>
      </c>
      <c r="N113" s="131"/>
      <c r="P113" s="3"/>
      <c r="Q113" s="446"/>
      <c r="R113" s="655"/>
      <c r="S113" s="655"/>
      <c r="T113" s="655"/>
      <c r="U113" s="655"/>
      <c r="V113" s="655"/>
      <c r="W113" s="655"/>
      <c r="X113" s="655"/>
      <c r="Y113" s="655"/>
      <c r="Z113" s="655"/>
      <c r="AA113" s="455"/>
      <c r="AB113" s="287"/>
      <c r="AC113" s="287"/>
      <c r="AD113" s="287"/>
      <c r="AE113" s="287"/>
      <c r="AF113" s="287"/>
      <c r="AG113" s="287"/>
      <c r="AH113" s="287"/>
      <c r="AI113" s="448"/>
      <c r="AJ113" s="448"/>
      <c r="AK113" s="448"/>
      <c r="AL113" s="448"/>
      <c r="AM113" s="448"/>
      <c r="AN113" s="448"/>
      <c r="AO113" s="448"/>
      <c r="AP113" s="287"/>
      <c r="AQ113" s="287"/>
      <c r="AR113" s="458"/>
      <c r="AS113" s="458"/>
      <c r="AT113" s="458"/>
      <c r="AU113" s="458"/>
      <c r="AV113" s="458"/>
      <c r="AW113" s="458"/>
      <c r="AX113" s="458"/>
      <c r="AY113" s="287"/>
      <c r="AZ113" s="287"/>
      <c r="BA113" s="494"/>
      <c r="BB113" s="494"/>
      <c r="BC113" s="494"/>
      <c r="BD113" s="494"/>
      <c r="BE113" s="494"/>
      <c r="BF113" s="494"/>
      <c r="BG113" s="494"/>
      <c r="BH113" s="494"/>
      <c r="BI113" s="509"/>
      <c r="BJ113" s="441"/>
      <c r="BK113" s="441"/>
      <c r="BL113" s="441"/>
      <c r="BM113" s="441"/>
      <c r="BN113" s="441"/>
      <c r="BO113" s="441"/>
      <c r="BP113" s="441"/>
      <c r="BQ113" s="441"/>
      <c r="BR113" s="441"/>
      <c r="BS113" s="441"/>
      <c r="BT113" s="287"/>
      <c r="BU113" s="287"/>
      <c r="BV113" s="509"/>
      <c r="BW113" s="509"/>
      <c r="BX113" s="509"/>
      <c r="BY113" s="509"/>
      <c r="BZ113" s="509"/>
      <c r="CA113" s="509"/>
      <c r="CB113" s="509"/>
      <c r="CC113" s="509"/>
      <c r="CD113" s="509"/>
      <c r="CE113" s="509"/>
      <c r="CF113" s="287"/>
      <c r="CG113" s="287"/>
      <c r="CH113" s="287"/>
      <c r="CI113" s="287"/>
      <c r="CJ113" s="287"/>
      <c r="CK113" s="287"/>
      <c r="CL113" s="287"/>
      <c r="CM113" s="287"/>
      <c r="CN113" s="287"/>
      <c r="CO113" s="287"/>
      <c r="CP113" s="287"/>
      <c r="CQ113" s="287"/>
      <c r="CR113" s="287"/>
      <c r="CS113" s="287"/>
      <c r="CT113" s="287"/>
      <c r="CU113" s="287"/>
      <c r="CV113" s="287"/>
      <c r="CW113" s="287"/>
      <c r="CX113" s="287"/>
      <c r="CY113" s="287"/>
      <c r="CZ113" s="287"/>
      <c r="DA113" s="287"/>
      <c r="DB113" s="287"/>
      <c r="DC113" s="287"/>
      <c r="DD113" s="287"/>
      <c r="DE113" s="287"/>
      <c r="DF113" s="287"/>
      <c r="DG113" s="287"/>
      <c r="DH113" s="287"/>
      <c r="DI113" s="287"/>
      <c r="DJ113" s="287"/>
      <c r="DK113" s="287"/>
      <c r="DL113" s="287"/>
      <c r="DM113" s="287"/>
      <c r="DN113" s="287"/>
      <c r="DO113" s="287"/>
      <c r="DP113" s="287"/>
    </row>
    <row r="114" spans="1:148" s="85" customFormat="1" ht="55.5" customHeight="1" x14ac:dyDescent="0.25">
      <c r="A114" s="250"/>
      <c r="B114" s="661" t="s">
        <v>38</v>
      </c>
      <c r="C114" s="662"/>
      <c r="D114" s="662"/>
      <c r="E114" s="134" t="str">
        <f t="shared" ref="E114:N114" si="15">IF(ISBLANK(E71),"",E71)</f>
        <v/>
      </c>
      <c r="F114" s="134" t="str">
        <f t="shared" si="15"/>
        <v/>
      </c>
      <c r="G114" s="134" t="str">
        <f t="shared" si="15"/>
        <v/>
      </c>
      <c r="H114" s="134" t="str">
        <f t="shared" si="15"/>
        <v/>
      </c>
      <c r="I114" s="134" t="str">
        <f t="shared" si="15"/>
        <v/>
      </c>
      <c r="J114" s="134" t="str">
        <f t="shared" si="15"/>
        <v/>
      </c>
      <c r="K114" s="134" t="str">
        <f t="shared" si="15"/>
        <v/>
      </c>
      <c r="L114" s="134" t="str">
        <f t="shared" si="15"/>
        <v/>
      </c>
      <c r="M114" s="134" t="str">
        <f t="shared" si="15"/>
        <v/>
      </c>
      <c r="N114" s="151" t="str">
        <f t="shared" si="15"/>
        <v/>
      </c>
      <c r="P114" s="3"/>
      <c r="Q114" s="446"/>
      <c r="R114" s="655"/>
      <c r="S114" s="655"/>
      <c r="T114" s="655"/>
      <c r="U114" s="655"/>
      <c r="V114" s="655"/>
      <c r="W114" s="655"/>
      <c r="X114" s="655"/>
      <c r="Y114" s="655"/>
      <c r="Z114" s="655"/>
      <c r="AA114" s="448"/>
      <c r="AB114" s="448"/>
      <c r="AC114" s="448"/>
      <c r="AD114" s="448"/>
      <c r="AE114" s="448"/>
      <c r="AF114" s="448"/>
      <c r="AG114" s="431"/>
      <c r="AH114" s="287"/>
      <c r="AI114" s="448"/>
      <c r="AJ114" s="448"/>
      <c r="AK114" s="448"/>
      <c r="AL114" s="448"/>
      <c r="AM114" s="448"/>
      <c r="AN114" s="448"/>
      <c r="AO114" s="448"/>
      <c r="AP114" s="287"/>
      <c r="AQ114" s="287"/>
      <c r="AR114" s="458"/>
      <c r="AS114" s="458"/>
      <c r="AT114" s="458"/>
      <c r="AU114" s="458"/>
      <c r="AV114" s="458"/>
      <c r="AW114" s="458"/>
      <c r="AX114" s="458"/>
      <c r="AY114" s="287"/>
      <c r="AZ114" s="287"/>
      <c r="BA114" s="494"/>
      <c r="BB114" s="494"/>
      <c r="BC114" s="494"/>
      <c r="BD114" s="494"/>
      <c r="BE114" s="494"/>
      <c r="BF114" s="494"/>
      <c r="BG114" s="494"/>
      <c r="BH114" s="494"/>
      <c r="BI114" s="509"/>
      <c r="BJ114" s="441"/>
      <c r="BK114" s="441"/>
      <c r="BL114" s="441"/>
      <c r="BM114" s="441"/>
      <c r="BN114" s="441"/>
      <c r="BO114" s="441"/>
      <c r="BP114" s="441"/>
      <c r="BQ114" s="441"/>
      <c r="BR114" s="441"/>
      <c r="BS114" s="441"/>
      <c r="BT114" s="287"/>
      <c r="BU114" s="287"/>
      <c r="BV114" s="509"/>
      <c r="BW114" s="509"/>
      <c r="BX114" s="509"/>
      <c r="BY114" s="509"/>
      <c r="BZ114" s="509"/>
      <c r="CA114" s="509"/>
      <c r="CB114" s="509"/>
      <c r="CC114" s="509"/>
      <c r="CD114" s="509"/>
      <c r="CE114" s="509"/>
      <c r="CF114" s="287"/>
      <c r="CG114" s="287"/>
      <c r="CH114" s="287"/>
      <c r="CI114" s="287"/>
      <c r="CJ114" s="287"/>
      <c r="CK114" s="287"/>
      <c r="CL114" s="287"/>
      <c r="CM114" s="287"/>
      <c r="CN114" s="287"/>
      <c r="CO114" s="287"/>
      <c r="CP114" s="287"/>
      <c r="CQ114" s="287"/>
      <c r="CR114" s="287"/>
      <c r="CS114" s="287"/>
      <c r="CT114" s="287"/>
      <c r="CU114" s="287"/>
      <c r="CV114" s="287"/>
      <c r="CW114" s="287"/>
      <c r="CX114" s="287"/>
      <c r="CY114" s="287"/>
      <c r="CZ114" s="287"/>
      <c r="DA114" s="287"/>
      <c r="DB114" s="287"/>
      <c r="DC114" s="287"/>
      <c r="DD114" s="287"/>
      <c r="DE114" s="287"/>
      <c r="DF114" s="287"/>
      <c r="DG114" s="287"/>
      <c r="DH114" s="287"/>
      <c r="DI114" s="287"/>
      <c r="DJ114" s="287"/>
      <c r="DK114" s="287"/>
      <c r="DL114" s="287"/>
      <c r="DM114" s="287"/>
      <c r="DN114" s="287"/>
      <c r="DO114" s="287"/>
      <c r="DP114" s="287"/>
    </row>
    <row r="115" spans="1:148" s="85" customFormat="1" ht="23.25" customHeight="1" x14ac:dyDescent="0.25">
      <c r="A115" s="205"/>
      <c r="B115" s="86"/>
      <c r="C115" s="161" t="s">
        <v>29</v>
      </c>
      <c r="D115" s="133"/>
      <c r="E115" s="167"/>
      <c r="F115" s="167"/>
      <c r="G115" s="167"/>
      <c r="H115" s="167"/>
      <c r="I115" s="167"/>
      <c r="J115" s="167"/>
      <c r="K115" s="167"/>
      <c r="L115" s="167"/>
      <c r="M115" s="333" t="str">
        <f>'2022 Satellite(s)'!N117</f>
        <v/>
      </c>
      <c r="N115" s="170" t="str">
        <f>IF(COUNT(E115:M115),SUM(E115:M115),"")</f>
        <v/>
      </c>
      <c r="O115" s="214" t="str">
        <f>IF(P115=1, "&lt;===", "")</f>
        <v/>
      </c>
      <c r="P115" s="364" t="str">
        <f>IF(OR(AND(E114&lt;&gt;"",E115="",D432&lt;&gt;""),AND(F114&lt;&gt;"",F115="",D432&lt;&gt;""),AND(G114&lt;&gt;"",G115="",D432&lt;&gt;""),AND(H114&lt;&gt;"",H115="",D432&lt;&gt;""),AND(I114&lt;&gt;"",I115="",D432&lt;&gt;""),AND(J114&lt;&gt;"",J115="",D432&lt;&gt;""),AND(K114&lt;&gt;"",K115="",D432&lt;&gt;""),AND(L114&lt;&gt;"",L115="",D432&lt;&gt;""),AND(M114&lt;&gt;"",M115="",D432&lt;&gt;"")), 1, "")</f>
        <v/>
      </c>
      <c r="Q115" s="446"/>
      <c r="R115" s="655"/>
      <c r="S115" s="655"/>
      <c r="T115" s="655"/>
      <c r="U115" s="655"/>
      <c r="V115" s="655"/>
      <c r="W115" s="655"/>
      <c r="X115" s="655"/>
      <c r="Y115" s="655"/>
      <c r="Z115" s="655"/>
      <c r="AA115" s="448"/>
      <c r="AB115" s="448"/>
      <c r="AC115" s="448"/>
      <c r="AD115" s="448"/>
      <c r="AE115" s="448"/>
      <c r="AF115" s="448"/>
      <c r="AG115" s="269"/>
      <c r="AH115" s="615"/>
      <c r="AI115" s="448"/>
      <c r="AJ115" s="448"/>
      <c r="AK115" s="448"/>
      <c r="AL115" s="448"/>
      <c r="AM115" s="448"/>
      <c r="AN115" s="448"/>
      <c r="AO115" s="448"/>
      <c r="AP115" s="443"/>
      <c r="AQ115" s="615"/>
      <c r="AR115" s="458"/>
      <c r="AS115" s="458"/>
      <c r="AT115" s="458"/>
      <c r="AU115" s="458"/>
      <c r="AV115" s="458"/>
      <c r="AW115" s="458"/>
      <c r="AX115" s="458"/>
      <c r="AY115" s="455"/>
      <c r="AZ115" s="287"/>
      <c r="BA115" s="494"/>
      <c r="BB115" s="494"/>
      <c r="BC115" s="494"/>
      <c r="BD115" s="494"/>
      <c r="BE115" s="494"/>
      <c r="BF115" s="494"/>
      <c r="BG115" s="494"/>
      <c r="BH115" s="494"/>
      <c r="BI115" s="509"/>
      <c r="BJ115" s="441"/>
      <c r="BK115" s="441"/>
      <c r="BL115" s="441"/>
      <c r="BM115" s="441"/>
      <c r="BN115" s="441"/>
      <c r="BO115" s="441"/>
      <c r="BP115" s="441"/>
      <c r="BQ115" s="441"/>
      <c r="BR115" s="441"/>
      <c r="BS115" s="441"/>
      <c r="BT115" s="287"/>
      <c r="BU115" s="287"/>
      <c r="BV115" s="509"/>
      <c r="BW115" s="509"/>
      <c r="BX115" s="509"/>
      <c r="BY115" s="509"/>
      <c r="BZ115" s="509"/>
      <c r="CA115" s="509"/>
      <c r="CB115" s="509"/>
      <c r="CC115" s="509"/>
      <c r="CD115" s="509"/>
      <c r="CE115" s="509"/>
      <c r="CF115" s="287"/>
      <c r="CG115" s="287"/>
      <c r="CH115" s="287"/>
      <c r="CI115" s="287"/>
      <c r="CJ115" s="287"/>
      <c r="CK115" s="287"/>
      <c r="CL115" s="287"/>
      <c r="CM115" s="287"/>
      <c r="CN115" s="287"/>
      <c r="CO115" s="287"/>
      <c r="CP115" s="287"/>
      <c r="CQ115" s="287"/>
      <c r="CR115" s="287"/>
      <c r="CS115" s="287"/>
      <c r="CT115" s="287"/>
      <c r="CU115" s="287"/>
      <c r="CV115" s="287"/>
      <c r="CW115" s="287"/>
      <c r="CX115" s="287"/>
      <c r="CY115" s="287"/>
      <c r="CZ115" s="287"/>
      <c r="DA115" s="287"/>
      <c r="DB115" s="287"/>
      <c r="DC115" s="287"/>
      <c r="DD115" s="287"/>
      <c r="DE115" s="287"/>
      <c r="DF115" s="287"/>
      <c r="DG115" s="287"/>
      <c r="DH115" s="287"/>
      <c r="DI115" s="287"/>
      <c r="DJ115" s="287"/>
      <c r="DK115" s="287"/>
      <c r="DL115" s="287"/>
      <c r="DM115" s="287"/>
      <c r="DN115" s="287"/>
      <c r="DO115" s="287"/>
      <c r="DP115" s="287"/>
    </row>
    <row r="116" spans="1:148" s="85" customFormat="1" ht="35.25" customHeight="1" x14ac:dyDescent="0.25">
      <c r="A116" s="205"/>
      <c r="B116" s="135"/>
      <c r="C116" s="636" t="s">
        <v>82</v>
      </c>
      <c r="D116" s="637"/>
      <c r="E116" s="171"/>
      <c r="F116" s="171"/>
      <c r="G116" s="171"/>
      <c r="H116" s="171"/>
      <c r="I116" s="171"/>
      <c r="J116" s="171"/>
      <c r="K116" s="171"/>
      <c r="L116" s="171"/>
      <c r="M116" s="336" t="str">
        <f>'2022 Satellite(s)'!N118</f>
        <v/>
      </c>
      <c r="N116" s="172" t="str">
        <f>IF(COUNT(E116:M116),SUM(E116:M116),"")</f>
        <v/>
      </c>
      <c r="O116" s="214" t="str">
        <f>IF(P116=1, "&lt;===", "")</f>
        <v/>
      </c>
      <c r="P116" s="364" t="str">
        <f>IF(OR(AND(E114&lt;&gt;"",E116="",D432&lt;&gt;""),AND(F114&lt;&gt;"",F116="",D432&lt;&gt;""),AND(G114&lt;&gt;"",G116="",D432&lt;&gt;""),AND(H114&lt;&gt;"",H116="",D432&lt;&gt;""),AND(I114&lt;&gt;"",I116="",D432&lt;&gt;""),AND(J114&lt;&gt;"",J116="",D432&lt;&gt;""),AND(K114&lt;&gt;"",K116="",D432&lt;&gt;""),AND(L114&lt;&gt;"",L116="",D432&lt;&gt;""),AND(M114&lt;&gt;"",M116="",D432&lt;&gt;"")), 1, "")</f>
        <v/>
      </c>
      <c r="Q116" s="446"/>
      <c r="R116" s="657" t="str">
        <f>IF(P107&lt;&gt;"","REQUIRED: A detailed Action Plan for Positive Placement outcome in the box below","")</f>
        <v/>
      </c>
      <c r="S116" s="657"/>
      <c r="T116" s="657"/>
      <c r="U116" s="657"/>
      <c r="V116" s="657"/>
      <c r="W116" s="657"/>
      <c r="X116" s="657"/>
      <c r="Y116" s="657"/>
      <c r="Z116" s="657"/>
      <c r="AA116" s="448"/>
      <c r="AB116" s="448"/>
      <c r="AC116" s="448"/>
      <c r="AD116" s="448"/>
      <c r="AE116" s="448"/>
      <c r="AF116" s="448"/>
      <c r="AG116" s="443"/>
      <c r="AH116" s="615"/>
      <c r="AI116" s="448"/>
      <c r="AJ116" s="448"/>
      <c r="AK116" s="448"/>
      <c r="AL116" s="448"/>
      <c r="AM116" s="448"/>
      <c r="AN116" s="448"/>
      <c r="AO116" s="448"/>
      <c r="AP116" s="443"/>
      <c r="AQ116" s="615"/>
      <c r="AR116" s="458"/>
      <c r="AS116" s="458"/>
      <c r="AT116" s="458"/>
      <c r="AU116" s="458"/>
      <c r="AV116" s="458"/>
      <c r="AW116" s="458"/>
      <c r="AX116" s="458"/>
      <c r="AY116" s="455"/>
      <c r="AZ116" s="287"/>
      <c r="BA116" s="494"/>
      <c r="BB116" s="494"/>
      <c r="BC116" s="494"/>
      <c r="BD116" s="494"/>
      <c r="BE116" s="494"/>
      <c r="BF116" s="494"/>
      <c r="BG116" s="494"/>
      <c r="BH116" s="494"/>
      <c r="BI116" s="509"/>
      <c r="BJ116" s="441"/>
      <c r="BK116" s="441"/>
      <c r="BL116" s="441"/>
      <c r="BM116" s="441"/>
      <c r="BN116" s="441"/>
      <c r="BO116" s="441"/>
      <c r="BP116" s="441"/>
      <c r="BQ116" s="441"/>
      <c r="BR116" s="441"/>
      <c r="BS116" s="441"/>
      <c r="BT116" s="287"/>
      <c r="BU116" s="287"/>
      <c r="BV116" s="509"/>
      <c r="BW116" s="509"/>
      <c r="BX116" s="509"/>
      <c r="BY116" s="509"/>
      <c r="BZ116" s="509"/>
      <c r="CA116" s="509"/>
      <c r="CB116" s="509"/>
      <c r="CC116" s="509"/>
      <c r="CD116" s="509"/>
      <c r="CE116" s="509"/>
      <c r="CF116" s="287"/>
      <c r="CG116" s="287"/>
      <c r="CH116" s="287"/>
      <c r="CI116" s="287"/>
      <c r="CJ116" s="287"/>
      <c r="CK116" s="287"/>
      <c r="CL116" s="287"/>
      <c r="CM116" s="287"/>
      <c r="CN116" s="287"/>
      <c r="CO116" s="287"/>
      <c r="CP116" s="287"/>
      <c r="CQ116" s="287"/>
      <c r="CR116" s="287"/>
      <c r="CS116" s="287"/>
      <c r="CT116" s="287"/>
      <c r="CU116" s="287"/>
      <c r="CV116" s="287"/>
      <c r="CW116" s="287"/>
      <c r="CX116" s="287"/>
      <c r="CY116" s="287"/>
      <c r="CZ116" s="287"/>
      <c r="DA116" s="287"/>
      <c r="DB116" s="287"/>
      <c r="DC116" s="287"/>
      <c r="DD116" s="287"/>
      <c r="DE116" s="287"/>
      <c r="DF116" s="287"/>
      <c r="DG116" s="287"/>
      <c r="DH116" s="287"/>
      <c r="DI116" s="287"/>
      <c r="DJ116" s="287"/>
      <c r="DK116" s="287"/>
      <c r="DL116" s="287"/>
      <c r="DM116" s="287"/>
      <c r="DN116" s="287"/>
      <c r="DO116" s="287"/>
      <c r="DP116" s="287"/>
    </row>
    <row r="117" spans="1:148" s="85" customFormat="1" ht="24.75" customHeight="1" x14ac:dyDescent="0.25">
      <c r="A117" s="205"/>
      <c r="B117" s="582" t="str">
        <f>"Total Positive Placement in " &amp;D4</f>
        <v>Total Positive Placement in 2022</v>
      </c>
      <c r="C117" s="583"/>
      <c r="D117" s="584"/>
      <c r="E117" s="75" t="str">
        <f>IF(OR(E114="",E115="",E116=""),"",SUM(E115+E116))</f>
        <v/>
      </c>
      <c r="F117" s="75" t="str">
        <f t="shared" ref="F117:M117" si="16">IF(OR(F114="",F115="",F116=""),"",SUM(F115+F116))</f>
        <v/>
      </c>
      <c r="G117" s="75" t="str">
        <f t="shared" si="16"/>
        <v/>
      </c>
      <c r="H117" s="75" t="str">
        <f t="shared" si="16"/>
        <v/>
      </c>
      <c r="I117" s="75" t="str">
        <f t="shared" si="16"/>
        <v/>
      </c>
      <c r="J117" s="75" t="str">
        <f t="shared" si="16"/>
        <v/>
      </c>
      <c r="K117" s="75" t="str">
        <f t="shared" si="16"/>
        <v/>
      </c>
      <c r="L117" s="75" t="str">
        <f t="shared" si="16"/>
        <v/>
      </c>
      <c r="M117" s="75" t="str">
        <f t="shared" si="16"/>
        <v/>
      </c>
      <c r="N117" s="70" t="str">
        <f>IF(COUNT(N115:N116),SUM(N115,N116),"")</f>
        <v/>
      </c>
      <c r="P117" s="364"/>
      <c r="Q117" s="446"/>
      <c r="R117" s="655"/>
      <c r="S117" s="655"/>
      <c r="T117" s="655"/>
      <c r="U117" s="655"/>
      <c r="V117" s="655"/>
      <c r="W117" s="655"/>
      <c r="X117" s="655"/>
      <c r="Y117" s="655"/>
      <c r="Z117" s="655"/>
      <c r="AA117" s="448"/>
      <c r="AB117" s="448"/>
      <c r="AC117" s="448"/>
      <c r="AD117" s="448"/>
      <c r="AE117" s="448"/>
      <c r="AF117" s="448"/>
      <c r="AG117" s="441"/>
      <c r="AH117" s="287"/>
      <c r="AI117" s="448"/>
      <c r="AJ117" s="448"/>
      <c r="AK117" s="448"/>
      <c r="AL117" s="448"/>
      <c r="AM117" s="448"/>
      <c r="AN117" s="448"/>
      <c r="AO117" s="448"/>
      <c r="AP117" s="287"/>
      <c r="AQ117" s="287"/>
      <c r="AR117" s="458"/>
      <c r="AS117" s="458"/>
      <c r="AT117" s="458"/>
      <c r="AU117" s="458"/>
      <c r="AV117" s="458"/>
      <c r="AW117" s="458"/>
      <c r="AX117" s="458"/>
      <c r="AY117" s="287"/>
      <c r="AZ117" s="287"/>
      <c r="BA117" s="494"/>
      <c r="BB117" s="494"/>
      <c r="BC117" s="494"/>
      <c r="BD117" s="494"/>
      <c r="BE117" s="494"/>
      <c r="BF117" s="494"/>
      <c r="BG117" s="494"/>
      <c r="BH117" s="494"/>
      <c r="BI117" s="509"/>
      <c r="BJ117" s="441"/>
      <c r="BK117" s="441"/>
      <c r="BL117" s="441"/>
      <c r="BM117" s="441"/>
      <c r="BN117" s="441"/>
      <c r="BO117" s="441"/>
      <c r="BP117" s="441"/>
      <c r="BQ117" s="441"/>
      <c r="BR117" s="441"/>
      <c r="BS117" s="441"/>
      <c r="BT117" s="287"/>
      <c r="BU117" s="287"/>
      <c r="BV117" s="287"/>
      <c r="BW117" s="287"/>
      <c r="BX117" s="287"/>
      <c r="BY117" s="287"/>
      <c r="BZ117" s="287"/>
      <c r="CA117" s="287"/>
      <c r="CB117" s="287"/>
      <c r="CC117" s="287"/>
      <c r="CD117" s="287"/>
      <c r="CE117" s="287"/>
      <c r="CF117" s="287"/>
      <c r="CG117" s="287"/>
      <c r="CH117" s="287"/>
      <c r="CI117" s="287"/>
      <c r="CJ117" s="287"/>
      <c r="CK117" s="287"/>
      <c r="CL117" s="287"/>
      <c r="CM117" s="287"/>
      <c r="CN117" s="287"/>
      <c r="CO117" s="287"/>
      <c r="CP117" s="287"/>
      <c r="CQ117" s="287"/>
      <c r="CR117" s="287"/>
      <c r="CS117" s="287"/>
      <c r="CT117" s="287"/>
      <c r="CU117" s="287"/>
      <c r="CV117" s="287"/>
      <c r="CW117" s="287"/>
      <c r="CX117" s="287"/>
      <c r="CY117" s="287"/>
      <c r="CZ117" s="287"/>
      <c r="DA117" s="287"/>
      <c r="DB117" s="287"/>
      <c r="DC117" s="287"/>
      <c r="DD117" s="287"/>
      <c r="DE117" s="287"/>
      <c r="DF117" s="287"/>
      <c r="DG117" s="287"/>
      <c r="DH117" s="287"/>
      <c r="DI117" s="287"/>
      <c r="DJ117" s="287"/>
      <c r="DK117" s="287"/>
      <c r="DL117" s="287"/>
      <c r="DM117" s="287"/>
      <c r="DN117" s="287"/>
      <c r="DO117" s="287"/>
      <c r="DP117" s="287"/>
    </row>
    <row r="118" spans="1:148" s="85" customFormat="1" ht="45.75" customHeight="1" x14ac:dyDescent="0.25">
      <c r="A118" s="205"/>
      <c r="B118" s="595" t="s">
        <v>89</v>
      </c>
      <c r="C118" s="596"/>
      <c r="D118" s="597"/>
      <c r="E118" s="190" t="str">
        <f>IF(E114="","",IFERROR(E117/E114,0))</f>
        <v/>
      </c>
      <c r="F118" s="190" t="str">
        <f>IF(F114="","",IFERROR(F117/F114,0))</f>
        <v/>
      </c>
      <c r="G118" s="190" t="str">
        <f t="shared" ref="G118:M118" si="17">IF(G114="","",IFERROR(G117/G114,0))</f>
        <v/>
      </c>
      <c r="H118" s="190" t="str">
        <f t="shared" si="17"/>
        <v/>
      </c>
      <c r="I118" s="190" t="str">
        <f t="shared" si="17"/>
        <v/>
      </c>
      <c r="J118" s="190" t="str">
        <f t="shared" si="17"/>
        <v/>
      </c>
      <c r="K118" s="190" t="str">
        <f t="shared" si="17"/>
        <v/>
      </c>
      <c r="L118" s="190" t="str">
        <f t="shared" si="17"/>
        <v/>
      </c>
      <c r="M118" s="190" t="str">
        <f t="shared" si="17"/>
        <v/>
      </c>
      <c r="N118" s="191">
        <f>IF(AND(N59&lt;&gt;"",N115&lt;&gt;"",N116&lt;&gt;""),N117/N114,0)</f>
        <v>0</v>
      </c>
      <c r="O118" s="226" t="str">
        <f>IF(P117=1, "&lt;===", "")</f>
        <v/>
      </c>
      <c r="P118" s="405"/>
      <c r="Q118" s="453"/>
      <c r="R118" s="655"/>
      <c r="S118" s="655"/>
      <c r="T118" s="655"/>
      <c r="U118" s="655"/>
      <c r="V118" s="655"/>
      <c r="W118" s="655"/>
      <c r="X118" s="655"/>
      <c r="Y118" s="655"/>
      <c r="Z118" s="655"/>
      <c r="AA118" s="263" t="str">
        <f>IF(AB118=1, "&lt;===", "")</f>
        <v/>
      </c>
      <c r="AB118" s="483" t="str">
        <f>IF(AND(P107&lt;&gt;"",R117="", D432&lt;&gt;""),1, "")</f>
        <v/>
      </c>
      <c r="AC118" s="448"/>
      <c r="AD118" s="448"/>
      <c r="AE118" s="448"/>
      <c r="AF118" s="448"/>
      <c r="AG118" s="441"/>
      <c r="AH118" s="287"/>
      <c r="AI118" s="448"/>
      <c r="AJ118" s="448"/>
      <c r="AK118" s="448"/>
      <c r="AL118" s="448"/>
      <c r="AM118" s="448"/>
      <c r="AN118" s="448"/>
      <c r="AO118" s="448"/>
      <c r="AP118" s="287"/>
      <c r="AQ118" s="287"/>
      <c r="AR118" s="458"/>
      <c r="AS118" s="458"/>
      <c r="AT118" s="458"/>
      <c r="AU118" s="458"/>
      <c r="AV118" s="458"/>
      <c r="AW118" s="458"/>
      <c r="AX118" s="458"/>
      <c r="AY118" s="287"/>
      <c r="AZ118" s="287"/>
      <c r="BA118" s="494"/>
      <c r="BB118" s="494"/>
      <c r="BC118" s="494"/>
      <c r="BD118" s="494"/>
      <c r="BE118" s="494"/>
      <c r="BF118" s="494"/>
      <c r="BG118" s="494"/>
      <c r="BH118" s="494"/>
      <c r="BI118" s="509"/>
      <c r="BJ118" s="441"/>
      <c r="BK118" s="441"/>
      <c r="BL118" s="441"/>
      <c r="BM118" s="441"/>
      <c r="BN118" s="441"/>
      <c r="BO118" s="441"/>
      <c r="BP118" s="441"/>
      <c r="BQ118" s="441"/>
      <c r="BR118" s="441"/>
      <c r="BS118" s="441"/>
      <c r="BT118" s="287"/>
      <c r="BU118" s="491"/>
      <c r="BV118" s="621"/>
      <c r="BW118" s="621"/>
      <c r="BX118" s="621"/>
      <c r="BY118" s="621"/>
      <c r="BZ118" s="621"/>
      <c r="CA118" s="621"/>
      <c r="CB118" s="621"/>
      <c r="CC118" s="621"/>
      <c r="CD118" s="621"/>
      <c r="CE118" s="621"/>
      <c r="CF118" s="287"/>
      <c r="CG118" s="287"/>
      <c r="CH118" s="287"/>
      <c r="CI118" s="287"/>
      <c r="CJ118" s="287"/>
      <c r="CK118" s="287"/>
      <c r="CL118" s="287"/>
      <c r="CM118" s="287"/>
      <c r="CN118" s="287"/>
      <c r="CO118" s="287"/>
      <c r="CP118" s="287"/>
      <c r="CQ118" s="287"/>
      <c r="CR118" s="287"/>
      <c r="CS118" s="287"/>
      <c r="CT118" s="287"/>
      <c r="CU118" s="287"/>
      <c r="CV118" s="287"/>
      <c r="CW118" s="287"/>
      <c r="CX118" s="287"/>
      <c r="CY118" s="287"/>
      <c r="CZ118" s="287"/>
      <c r="DA118" s="287"/>
      <c r="DB118" s="287"/>
      <c r="DC118" s="287"/>
      <c r="DD118" s="287"/>
      <c r="DE118" s="287"/>
      <c r="DF118" s="287"/>
      <c r="DG118" s="287"/>
      <c r="DH118" s="287"/>
      <c r="DI118" s="287"/>
      <c r="DJ118" s="287"/>
      <c r="DK118" s="287"/>
      <c r="DL118" s="287"/>
      <c r="DM118" s="287"/>
      <c r="DN118" s="287"/>
      <c r="DO118" s="287"/>
      <c r="DP118" s="287"/>
    </row>
    <row r="119" spans="1:148" s="85" customFormat="1" ht="60.75" customHeight="1" x14ac:dyDescent="0.25">
      <c r="A119" s="205"/>
      <c r="B119" s="592" t="str">
        <f>IF(AND(N117&lt;&gt;"",N118&lt;0.7,N115&lt;&gt;"",N116&lt;&gt;"",B120="",'2022 Satellite(s)'!B122=""),"The outcome threshold of 70% has not been met.  
Completion of the analysis and action plan boxes to the right are required ==&gt;",IF(AND(N118&gt;=0.7,N118&lt;=100%,N115&lt;&gt;"",N116&lt;&gt;"",B120="",'2022 Satellite(s)'!B122=""),"The outcome threshold of 70% has been met.  
Please complete the next table below.",""))</f>
        <v/>
      </c>
      <c r="C119" s="593"/>
      <c r="D119" s="593"/>
      <c r="E119" s="593"/>
      <c r="F119" s="593"/>
      <c r="G119" s="593"/>
      <c r="H119" s="593"/>
      <c r="I119" s="593"/>
      <c r="J119" s="593"/>
      <c r="K119" s="593"/>
      <c r="L119" s="593"/>
      <c r="M119" s="593"/>
      <c r="N119" s="594"/>
      <c r="P119" s="3"/>
      <c r="Q119" s="446"/>
      <c r="R119" s="655"/>
      <c r="S119" s="655"/>
      <c r="T119" s="655"/>
      <c r="U119" s="655"/>
      <c r="V119" s="655"/>
      <c r="W119" s="655"/>
      <c r="X119" s="655"/>
      <c r="Y119" s="655"/>
      <c r="Z119" s="655"/>
      <c r="AA119" s="443"/>
      <c r="AB119" s="443"/>
      <c r="AC119" s="443"/>
      <c r="AD119" s="443"/>
      <c r="AE119" s="443"/>
      <c r="AF119" s="443"/>
      <c r="AG119" s="443"/>
      <c r="AH119" s="287"/>
      <c r="AI119" s="448"/>
      <c r="AJ119" s="448"/>
      <c r="AK119" s="448"/>
      <c r="AL119" s="448"/>
      <c r="AM119" s="448"/>
      <c r="AN119" s="448"/>
      <c r="AO119" s="448"/>
      <c r="AP119" s="443"/>
      <c r="AQ119" s="287"/>
      <c r="AR119" s="458"/>
      <c r="AS119" s="458"/>
      <c r="AT119" s="458"/>
      <c r="AU119" s="458"/>
      <c r="AV119" s="458"/>
      <c r="AW119" s="458"/>
      <c r="AX119" s="458"/>
      <c r="AY119" s="443"/>
      <c r="AZ119" s="287"/>
      <c r="BA119" s="494"/>
      <c r="BB119" s="494"/>
      <c r="BC119" s="494"/>
      <c r="BD119" s="494"/>
      <c r="BE119" s="494"/>
      <c r="BF119" s="494"/>
      <c r="BG119" s="494"/>
      <c r="BH119" s="494"/>
      <c r="BI119" s="509"/>
      <c r="BJ119" s="441"/>
      <c r="BK119" s="441"/>
      <c r="BL119" s="441"/>
      <c r="BM119" s="441"/>
      <c r="BN119" s="441"/>
      <c r="BO119" s="441"/>
      <c r="BP119" s="441"/>
      <c r="BQ119" s="441"/>
      <c r="BR119" s="441"/>
      <c r="BS119" s="441"/>
      <c r="BT119" s="287"/>
      <c r="BU119" s="287"/>
      <c r="BV119" s="441"/>
      <c r="BW119" s="441"/>
      <c r="BX119" s="441"/>
      <c r="BY119" s="441"/>
      <c r="BZ119" s="441"/>
      <c r="CA119" s="441"/>
      <c r="CB119" s="441"/>
      <c r="CC119" s="441"/>
      <c r="CD119" s="441"/>
      <c r="CE119" s="441"/>
      <c r="CF119" s="287"/>
      <c r="CG119" s="287"/>
      <c r="CH119" s="287"/>
      <c r="CI119" s="287"/>
      <c r="CJ119" s="287"/>
      <c r="CK119" s="287"/>
      <c r="CL119" s="287"/>
      <c r="CM119" s="287"/>
      <c r="CN119" s="287"/>
      <c r="CO119" s="287"/>
      <c r="CP119" s="287"/>
      <c r="CQ119" s="287"/>
      <c r="CR119" s="287"/>
      <c r="CS119" s="287"/>
      <c r="CT119" s="287"/>
      <c r="CU119" s="287"/>
      <c r="CV119" s="287"/>
      <c r="CW119" s="287"/>
      <c r="CX119" s="287"/>
      <c r="CY119" s="287"/>
      <c r="CZ119" s="287"/>
      <c r="DA119" s="287"/>
      <c r="DB119" s="287"/>
      <c r="DC119" s="287"/>
      <c r="DD119" s="287"/>
      <c r="DE119" s="287"/>
      <c r="DF119" s="287"/>
      <c r="DG119" s="287"/>
      <c r="DH119" s="287"/>
      <c r="DI119" s="287"/>
      <c r="DJ119" s="287"/>
      <c r="DK119" s="287"/>
      <c r="DL119" s="287"/>
      <c r="DM119" s="287"/>
      <c r="DN119" s="287"/>
      <c r="DO119" s="287"/>
      <c r="DP119" s="287"/>
    </row>
    <row r="120" spans="1:148" s="85" customFormat="1" ht="52.5" customHeight="1" x14ac:dyDescent="0.25">
      <c r="A120" s="205"/>
      <c r="B120" s="632" t="str">
        <f>IF(OR(AND(E118&gt;100%,E117&lt;&gt;""),AND(F118&gt;100%,F117&lt;&gt;""),AND(G118&gt;100%,G117&lt;&gt;""),AND(H118&gt;100%,H117&lt;&gt;""),AND(I118&gt;100%,I117&lt;&gt;""),AND(J118&gt;100%,J117&lt;&gt;""),AND(K118&gt;100%,K117&lt;&gt;""),AND(L118&gt;100%,L117&lt;&gt;""),AND(M118&gt;100%,M117&lt;&gt;""),AND(N118&gt;100%,N117&lt;&gt;"")),"Error has occurred; The pass rate success percentage cannot be more than 100%",IF(OR(AND(E114&lt;&gt;"",E117&lt;&gt;"",E117&gt;E114),AND(F114&lt;&gt;"",F117&lt;&gt;"",F117&gt;F114),AND(G114&lt;&gt;"",G117&lt;&gt;"",G117&gt;G114),AND(H114&lt;&gt;"",H117&lt;&gt;"",H117&gt;H114),AND(I114&lt;&gt;"",I117&lt;&gt;"",I117&gt;I114),AND(J114&lt;&gt;"",J117&lt;&gt;"",J117&gt;J114),AND(K114&lt;&gt;"",K117&lt;&gt;"",K117&gt;K114),AND(L114&lt;&gt;"",L117&lt;&gt;"",L117&gt;L114),AND(M114&lt;&gt;"",M117&lt;&gt;"",M117&gt;M114)),"Error has occurred; The total positive placement number cannot be more than the total graduates reported",IF(OR(AND(E114&lt;&gt;"",E117="",E118=0),AND(F114&lt;&gt;"",F117="",F118=0),AND(G114&lt;&gt;"",G117="",G118=0),AND(H114&lt;&gt;"",H117="",H118=0),AND(I114&lt;&gt;"",I117="",I118=0),AND(J114&lt;&gt;"",J117="",J118=0),AND(K114&lt;&gt;"",K117="",K118=0),AND(L114&lt;&gt;"",L117="",L118=0),AND(M114&lt;&gt;"",M117="",M118=0)),"Please Note: An empty or blank cell is not the same as a zero.",IF('2022 Satellite(s)'!B122&lt;&gt;"","Error has occurred; See Satellite(s) tab.",""))))</f>
        <v/>
      </c>
      <c r="C120" s="632"/>
      <c r="D120" s="632"/>
      <c r="E120" s="632"/>
      <c r="F120" s="632"/>
      <c r="G120" s="632"/>
      <c r="H120" s="632"/>
      <c r="I120" s="632"/>
      <c r="J120" s="632"/>
      <c r="K120" s="632"/>
      <c r="L120" s="632"/>
      <c r="M120" s="632"/>
      <c r="N120" s="632"/>
      <c r="P120" s="3"/>
      <c r="Q120" s="446"/>
      <c r="R120" s="655"/>
      <c r="S120" s="655"/>
      <c r="T120" s="655"/>
      <c r="U120" s="655"/>
      <c r="V120" s="655"/>
      <c r="W120" s="655"/>
      <c r="X120" s="655"/>
      <c r="Y120" s="655"/>
      <c r="Z120" s="655"/>
      <c r="AA120" s="448"/>
      <c r="AB120" s="448"/>
      <c r="AC120" s="448"/>
      <c r="AD120" s="448"/>
      <c r="AE120" s="448"/>
      <c r="AF120" s="448"/>
      <c r="AG120" s="263"/>
      <c r="AH120" s="287"/>
      <c r="AI120" s="448"/>
      <c r="AJ120" s="448"/>
      <c r="AK120" s="448"/>
      <c r="AL120" s="448"/>
      <c r="AM120" s="448"/>
      <c r="AN120" s="448"/>
      <c r="AO120" s="448"/>
      <c r="AP120" s="441"/>
      <c r="AQ120" s="287"/>
      <c r="AR120" s="458"/>
      <c r="AS120" s="458"/>
      <c r="AT120" s="458"/>
      <c r="AU120" s="458"/>
      <c r="AV120" s="458"/>
      <c r="AW120" s="458"/>
      <c r="AX120" s="458"/>
      <c r="AY120" s="441"/>
      <c r="AZ120" s="287"/>
      <c r="BA120" s="494"/>
      <c r="BB120" s="494"/>
      <c r="BC120" s="494"/>
      <c r="BD120" s="494"/>
      <c r="BE120" s="494"/>
      <c r="BF120" s="494"/>
      <c r="BG120" s="494"/>
      <c r="BH120" s="494"/>
      <c r="BI120" s="492"/>
      <c r="BJ120" s="441"/>
      <c r="BK120" s="441"/>
      <c r="BL120" s="441"/>
      <c r="BM120" s="441"/>
      <c r="BN120" s="441"/>
      <c r="BO120" s="441"/>
      <c r="BP120" s="441"/>
      <c r="BQ120" s="441"/>
      <c r="BR120" s="441"/>
      <c r="BS120" s="441"/>
      <c r="BT120" s="287"/>
      <c r="BU120" s="287"/>
      <c r="BV120" s="441"/>
      <c r="BW120" s="441"/>
      <c r="BX120" s="441"/>
      <c r="BY120" s="441"/>
      <c r="BZ120" s="441"/>
      <c r="CA120" s="441"/>
      <c r="CB120" s="441"/>
      <c r="CC120" s="441"/>
      <c r="CD120" s="441"/>
      <c r="CE120" s="441"/>
      <c r="CF120" s="287"/>
      <c r="CG120" s="287"/>
      <c r="CH120" s="287"/>
      <c r="CI120" s="287"/>
      <c r="CJ120" s="287"/>
      <c r="CK120" s="287"/>
      <c r="CL120" s="287"/>
      <c r="CM120" s="287"/>
      <c r="CN120" s="287"/>
      <c r="CO120" s="287"/>
      <c r="CP120" s="287"/>
      <c r="CQ120" s="287"/>
      <c r="CR120" s="287"/>
      <c r="CS120" s="287"/>
      <c r="CT120" s="287"/>
      <c r="CU120" s="287"/>
      <c r="CV120" s="287"/>
      <c r="CW120" s="287"/>
      <c r="CX120" s="287"/>
      <c r="CY120" s="287"/>
      <c r="CZ120" s="287"/>
      <c r="DA120" s="287"/>
      <c r="DB120" s="287"/>
      <c r="DC120" s="287"/>
      <c r="DD120" s="287"/>
      <c r="DE120" s="287"/>
      <c r="DF120" s="287"/>
      <c r="DG120" s="287"/>
      <c r="DH120" s="287"/>
      <c r="DI120" s="287"/>
      <c r="DJ120" s="287"/>
      <c r="DK120" s="287"/>
      <c r="DL120" s="287"/>
      <c r="DM120" s="287"/>
      <c r="DN120" s="287"/>
      <c r="DO120" s="287"/>
      <c r="DP120" s="287"/>
    </row>
    <row r="121" spans="1:148" s="85" customFormat="1" x14ac:dyDescent="0.25">
      <c r="A121" s="205"/>
      <c r="P121" s="3"/>
      <c r="Q121" s="446"/>
      <c r="R121" s="655"/>
      <c r="S121" s="655"/>
      <c r="T121" s="655"/>
      <c r="U121" s="655"/>
      <c r="V121" s="655"/>
      <c r="W121" s="655"/>
      <c r="X121" s="655"/>
      <c r="Y121" s="655"/>
      <c r="Z121" s="655"/>
      <c r="AA121" s="448"/>
      <c r="AB121" s="448"/>
      <c r="AC121" s="448"/>
      <c r="AD121" s="448"/>
      <c r="AE121" s="448"/>
      <c r="AF121" s="448"/>
      <c r="AG121" s="269"/>
      <c r="AH121" s="287"/>
      <c r="AI121" s="448"/>
      <c r="AJ121" s="448"/>
      <c r="AK121" s="448"/>
      <c r="AL121" s="448"/>
      <c r="AM121" s="448"/>
      <c r="AN121" s="448"/>
      <c r="AO121" s="448"/>
      <c r="AP121" s="441"/>
      <c r="AQ121" s="287"/>
      <c r="AR121" s="458"/>
      <c r="AS121" s="458"/>
      <c r="AT121" s="458"/>
      <c r="AU121" s="458"/>
      <c r="AV121" s="458"/>
      <c r="AW121" s="458"/>
      <c r="AX121" s="458"/>
      <c r="AY121" s="441"/>
      <c r="AZ121" s="287"/>
      <c r="BA121" s="494"/>
      <c r="BB121" s="494"/>
      <c r="BC121" s="494"/>
      <c r="BD121" s="494"/>
      <c r="BE121" s="494"/>
      <c r="BF121" s="494"/>
      <c r="BG121" s="494"/>
      <c r="BH121" s="494"/>
      <c r="BI121" s="287"/>
      <c r="BJ121" s="441"/>
      <c r="BK121" s="441"/>
      <c r="BL121" s="441"/>
      <c r="BM121" s="441"/>
      <c r="BN121" s="441"/>
      <c r="BO121" s="441"/>
      <c r="BP121" s="441"/>
      <c r="BQ121" s="441"/>
      <c r="BR121" s="441"/>
      <c r="BS121" s="441"/>
      <c r="BT121" s="287"/>
      <c r="BU121" s="287"/>
      <c r="BV121" s="441"/>
      <c r="BW121" s="441"/>
      <c r="BX121" s="441"/>
      <c r="BY121" s="441"/>
      <c r="BZ121" s="441"/>
      <c r="CA121" s="441"/>
      <c r="CB121" s="441"/>
      <c r="CC121" s="441"/>
      <c r="CD121" s="441"/>
      <c r="CE121" s="441"/>
      <c r="CF121" s="287"/>
      <c r="CG121" s="287"/>
      <c r="CH121" s="287"/>
      <c r="CI121" s="287"/>
      <c r="CJ121" s="287"/>
      <c r="CK121" s="287"/>
      <c r="CL121" s="287"/>
      <c r="CM121" s="287"/>
      <c r="CN121" s="287"/>
      <c r="CO121" s="287"/>
      <c r="CP121" s="287"/>
      <c r="CQ121" s="287"/>
      <c r="CR121" s="287"/>
      <c r="CS121" s="287"/>
      <c r="CT121" s="287"/>
      <c r="CU121" s="287"/>
      <c r="CV121" s="287"/>
      <c r="CW121" s="287"/>
      <c r="CX121" s="287"/>
      <c r="CY121" s="287"/>
      <c r="CZ121" s="287"/>
      <c r="DA121" s="287"/>
      <c r="DB121" s="287"/>
      <c r="DC121" s="287"/>
      <c r="DD121" s="287"/>
      <c r="DE121" s="287"/>
      <c r="DF121" s="287"/>
      <c r="DG121" s="287"/>
      <c r="DH121" s="287"/>
      <c r="DI121" s="287"/>
      <c r="DJ121" s="287"/>
      <c r="DK121" s="287"/>
      <c r="DL121" s="287"/>
      <c r="DM121" s="287"/>
      <c r="DN121" s="287"/>
      <c r="DO121" s="287"/>
      <c r="DP121" s="287"/>
    </row>
    <row r="122" spans="1:148" s="85" customFormat="1" ht="101.25" customHeight="1" x14ac:dyDescent="0.25">
      <c r="A122" s="205"/>
      <c r="B122" s="600" t="s">
        <v>92</v>
      </c>
      <c r="C122" s="601"/>
      <c r="D122" s="601"/>
      <c r="E122" s="601"/>
      <c r="F122" s="601"/>
      <c r="G122" s="601"/>
      <c r="H122" s="601"/>
      <c r="I122" s="601"/>
      <c r="J122" s="601"/>
      <c r="K122" s="601"/>
      <c r="L122" s="601"/>
      <c r="M122" s="601"/>
      <c r="N122" s="602"/>
      <c r="P122" s="386"/>
      <c r="Q122" s="446"/>
      <c r="R122" s="655"/>
      <c r="S122" s="655"/>
      <c r="T122" s="655"/>
      <c r="U122" s="655"/>
      <c r="V122" s="655"/>
      <c r="W122" s="655"/>
      <c r="X122" s="655"/>
      <c r="Y122" s="655"/>
      <c r="Z122" s="655"/>
      <c r="AA122" s="448"/>
      <c r="AB122" s="448"/>
      <c r="AC122" s="448"/>
      <c r="AD122" s="448"/>
      <c r="AE122" s="448"/>
      <c r="AF122" s="448"/>
      <c r="AG122" s="448"/>
      <c r="AH122" s="287"/>
      <c r="AI122" s="448"/>
      <c r="AJ122" s="448"/>
      <c r="AK122" s="448"/>
      <c r="AL122" s="448"/>
      <c r="AM122" s="448"/>
      <c r="AN122" s="448"/>
      <c r="AO122" s="448"/>
      <c r="AP122" s="441"/>
      <c r="AQ122" s="287"/>
      <c r="AR122" s="458"/>
      <c r="AS122" s="458"/>
      <c r="AT122" s="458"/>
      <c r="AU122" s="458"/>
      <c r="AV122" s="458"/>
      <c r="AW122" s="458"/>
      <c r="AX122" s="458"/>
      <c r="AY122" s="441"/>
      <c r="AZ122" s="287"/>
      <c r="BA122" s="494"/>
      <c r="BB122" s="494"/>
      <c r="BC122" s="494"/>
      <c r="BD122" s="494"/>
      <c r="BE122" s="494"/>
      <c r="BF122" s="494"/>
      <c r="BG122" s="494"/>
      <c r="BH122" s="494"/>
      <c r="BI122" s="287"/>
      <c r="BJ122" s="441"/>
      <c r="BK122" s="441"/>
      <c r="BL122" s="441"/>
      <c r="BM122" s="441"/>
      <c r="BN122" s="441"/>
      <c r="BO122" s="441"/>
      <c r="BP122" s="441"/>
      <c r="BQ122" s="441"/>
      <c r="BR122" s="441"/>
      <c r="BS122" s="441"/>
      <c r="BT122" s="287"/>
      <c r="BU122" s="287"/>
      <c r="BV122" s="441"/>
      <c r="BW122" s="441"/>
      <c r="BX122" s="441"/>
      <c r="BY122" s="441"/>
      <c r="BZ122" s="441"/>
      <c r="CA122" s="441"/>
      <c r="CB122" s="441"/>
      <c r="CC122" s="441"/>
      <c r="CD122" s="441"/>
      <c r="CE122" s="441"/>
      <c r="CF122" s="287"/>
      <c r="CG122" s="287"/>
      <c r="CH122" s="287"/>
      <c r="CI122" s="287"/>
      <c r="CJ122" s="287"/>
      <c r="CK122" s="287"/>
      <c r="CL122" s="287"/>
      <c r="CM122" s="287"/>
      <c r="CN122" s="287"/>
      <c r="CO122" s="287"/>
      <c r="CP122" s="287"/>
      <c r="CQ122" s="287"/>
      <c r="CR122" s="287"/>
      <c r="CS122" s="287"/>
      <c r="CT122" s="287"/>
      <c r="CU122" s="287"/>
      <c r="CV122" s="287"/>
      <c r="CW122" s="287"/>
      <c r="CX122" s="287"/>
      <c r="CY122" s="287"/>
      <c r="CZ122" s="287"/>
      <c r="DA122" s="287"/>
      <c r="DB122" s="287"/>
      <c r="DC122" s="287"/>
      <c r="DD122" s="287"/>
      <c r="DE122" s="287"/>
      <c r="DF122" s="287"/>
      <c r="DG122" s="287"/>
      <c r="DH122" s="287"/>
      <c r="DI122" s="287"/>
      <c r="DJ122" s="287"/>
      <c r="DK122" s="287"/>
      <c r="DL122" s="287"/>
      <c r="DM122" s="287"/>
      <c r="DN122" s="287"/>
      <c r="DO122" s="287"/>
      <c r="DP122" s="287"/>
    </row>
    <row r="123" spans="1:148" s="85" customFormat="1" x14ac:dyDescent="0.25">
      <c r="A123" s="205"/>
      <c r="B123" s="585"/>
      <c r="C123" s="585"/>
      <c r="P123" s="439"/>
      <c r="Q123" s="446"/>
      <c r="R123" s="446"/>
      <c r="S123" s="446"/>
      <c r="T123" s="446"/>
      <c r="U123" s="446"/>
      <c r="V123" s="446"/>
      <c r="W123" s="446"/>
      <c r="X123" s="287"/>
      <c r="Y123" s="287"/>
      <c r="Z123" s="494"/>
      <c r="AA123" s="494"/>
      <c r="AB123" s="494"/>
      <c r="AC123" s="494"/>
      <c r="AD123" s="494"/>
      <c r="AE123" s="494"/>
      <c r="AF123" s="494"/>
      <c r="AG123" s="287"/>
      <c r="AH123" s="287"/>
      <c r="AI123" s="494"/>
      <c r="AJ123" s="494"/>
      <c r="AK123" s="494"/>
      <c r="AL123" s="494"/>
      <c r="AM123" s="494"/>
      <c r="AN123" s="494"/>
      <c r="AO123" s="494"/>
      <c r="AP123" s="287"/>
      <c r="AQ123" s="287"/>
      <c r="AR123" s="458"/>
      <c r="AS123" s="458"/>
      <c r="AT123" s="458"/>
      <c r="AU123" s="458"/>
      <c r="AV123" s="458"/>
      <c r="AW123" s="458"/>
      <c r="AX123" s="458"/>
      <c r="AY123" s="287"/>
      <c r="AZ123" s="287"/>
      <c r="BA123" s="494"/>
      <c r="BB123" s="494"/>
      <c r="BC123" s="494"/>
      <c r="BD123" s="494"/>
      <c r="BE123" s="494"/>
      <c r="BF123" s="494"/>
      <c r="BG123" s="494"/>
      <c r="BH123" s="287"/>
      <c r="BI123" s="287"/>
      <c r="BJ123" s="441"/>
      <c r="BK123" s="441"/>
      <c r="BL123" s="441"/>
      <c r="BM123" s="441"/>
      <c r="BN123" s="441"/>
      <c r="BO123" s="441"/>
      <c r="BP123" s="441"/>
      <c r="BQ123" s="287"/>
      <c r="BR123" s="287"/>
      <c r="BS123" s="287"/>
      <c r="BT123" s="287"/>
      <c r="BU123" s="287"/>
      <c r="BV123" s="287"/>
      <c r="BW123" s="287"/>
      <c r="BX123" s="287"/>
      <c r="BY123" s="287"/>
      <c r="BZ123" s="287"/>
      <c r="CA123" s="287"/>
      <c r="CB123" s="287"/>
      <c r="CC123" s="287"/>
      <c r="CD123" s="287"/>
      <c r="CE123" s="287"/>
      <c r="CF123" s="287"/>
      <c r="CG123" s="287"/>
      <c r="CH123" s="287"/>
      <c r="CI123" s="287"/>
      <c r="CJ123" s="287"/>
      <c r="CK123" s="287"/>
      <c r="CL123" s="287"/>
      <c r="CM123" s="287"/>
      <c r="CN123" s="287"/>
      <c r="CO123" s="287"/>
      <c r="CP123" s="287"/>
      <c r="CQ123" s="287"/>
      <c r="CR123" s="287"/>
      <c r="CS123" s="287"/>
      <c r="CT123" s="287"/>
      <c r="CU123" s="287"/>
      <c r="CV123" s="287"/>
      <c r="CW123" s="287"/>
      <c r="CX123" s="287"/>
      <c r="CY123" s="287"/>
      <c r="CZ123" s="287"/>
      <c r="DA123" s="287"/>
      <c r="DB123" s="287"/>
      <c r="DC123" s="287"/>
      <c r="DD123" s="287"/>
      <c r="DE123" s="287"/>
      <c r="DF123" s="287"/>
      <c r="DG123" s="287"/>
      <c r="DH123" s="287"/>
      <c r="DI123" s="287"/>
      <c r="DJ123" s="287"/>
      <c r="DK123" s="287"/>
      <c r="DL123" s="287"/>
      <c r="DM123" s="287"/>
      <c r="DN123" s="287"/>
      <c r="DO123" s="287"/>
      <c r="DP123" s="287"/>
      <c r="DQ123" s="287"/>
      <c r="DR123" s="287"/>
      <c r="DS123" s="287"/>
      <c r="DT123" s="287"/>
      <c r="DU123" s="287"/>
      <c r="DV123" s="287"/>
      <c r="DW123" s="287"/>
      <c r="DX123" s="287"/>
      <c r="DY123" s="287"/>
      <c r="DZ123" s="287"/>
      <c r="EA123" s="287"/>
      <c r="EB123" s="287"/>
      <c r="EC123" s="287"/>
      <c r="ED123" s="287"/>
      <c r="EE123" s="287"/>
      <c r="EF123" s="287"/>
      <c r="EG123" s="287"/>
      <c r="EH123" s="287"/>
      <c r="EI123" s="287"/>
      <c r="EJ123" s="287"/>
      <c r="EK123" s="287"/>
      <c r="EL123" s="287"/>
      <c r="EM123" s="287"/>
      <c r="EN123" s="287"/>
      <c r="EO123" s="287"/>
      <c r="EP123" s="287"/>
      <c r="EQ123" s="287"/>
      <c r="ER123" s="287"/>
    </row>
    <row r="124" spans="1:148" s="202" customFormat="1" x14ac:dyDescent="0.25">
      <c r="A124" s="205"/>
      <c r="P124" s="439"/>
      <c r="Q124" s="287"/>
      <c r="R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c r="BZ124" s="287"/>
      <c r="CA124" s="287"/>
      <c r="CB124" s="287"/>
      <c r="CC124" s="287"/>
      <c r="CD124" s="287"/>
      <c r="CE124" s="287"/>
      <c r="CF124" s="287"/>
      <c r="CG124" s="287"/>
      <c r="CH124" s="287"/>
      <c r="CI124" s="287"/>
      <c r="CJ124" s="287"/>
      <c r="CK124" s="287"/>
      <c r="CL124" s="287"/>
      <c r="CM124" s="287"/>
      <c r="CN124" s="287"/>
      <c r="CO124" s="287"/>
      <c r="CP124" s="287"/>
      <c r="CQ124" s="287"/>
      <c r="CR124" s="287"/>
      <c r="CS124" s="287"/>
      <c r="CT124" s="287"/>
      <c r="CU124" s="287"/>
      <c r="CV124" s="287"/>
      <c r="CW124" s="287"/>
      <c r="CX124" s="287"/>
      <c r="CY124" s="287"/>
      <c r="CZ124" s="287"/>
      <c r="DA124" s="287"/>
      <c r="DB124" s="287"/>
      <c r="DC124" s="287"/>
      <c r="DD124" s="287"/>
      <c r="DE124" s="287"/>
      <c r="DF124" s="287"/>
      <c r="DG124" s="287"/>
      <c r="DH124" s="287"/>
      <c r="DI124" s="287"/>
      <c r="DJ124" s="287"/>
      <c r="DK124" s="287"/>
      <c r="DL124" s="287"/>
      <c r="DM124" s="287"/>
      <c r="DN124" s="287"/>
      <c r="DO124" s="287"/>
      <c r="DP124" s="287"/>
    </row>
    <row r="125" spans="1:148" s="23" customFormat="1" x14ac:dyDescent="0.25">
      <c r="A125" s="205"/>
      <c r="P125" s="439"/>
      <c r="Q125" s="287"/>
      <c r="R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87"/>
      <c r="BW125" s="287"/>
      <c r="BX125" s="287"/>
      <c r="BY125" s="287"/>
      <c r="BZ125" s="287"/>
      <c r="CA125" s="287"/>
      <c r="CB125" s="287"/>
      <c r="CC125" s="287"/>
      <c r="CD125" s="287"/>
      <c r="CE125" s="287"/>
      <c r="CF125" s="287"/>
      <c r="CG125" s="287"/>
      <c r="CH125" s="287"/>
      <c r="CI125" s="287"/>
      <c r="CJ125" s="287"/>
      <c r="CK125" s="287"/>
      <c r="CL125" s="287"/>
      <c r="CM125" s="287"/>
      <c r="CN125" s="287"/>
      <c r="CO125" s="287"/>
      <c r="CP125" s="287"/>
      <c r="CQ125" s="287"/>
      <c r="CR125" s="287"/>
      <c r="CS125" s="287"/>
      <c r="CT125" s="287"/>
      <c r="CU125" s="287"/>
      <c r="CV125" s="287"/>
      <c r="CW125" s="287"/>
      <c r="CX125" s="287"/>
      <c r="CY125" s="287"/>
      <c r="CZ125" s="287"/>
      <c r="DA125" s="287"/>
      <c r="DB125" s="287"/>
      <c r="DC125" s="287"/>
      <c r="DD125" s="287"/>
      <c r="DE125" s="287"/>
      <c r="DF125" s="287"/>
      <c r="DG125" s="287"/>
      <c r="DH125" s="287"/>
      <c r="DI125" s="287"/>
      <c r="DJ125" s="287"/>
      <c r="DK125" s="287"/>
      <c r="DL125" s="287"/>
      <c r="DM125" s="287"/>
      <c r="DN125" s="287"/>
      <c r="DO125" s="287"/>
      <c r="DP125" s="287"/>
    </row>
    <row r="126" spans="1:148" s="23" customFormat="1" x14ac:dyDescent="0.25">
      <c r="A126" s="205"/>
      <c r="B126" s="19"/>
      <c r="C126" s="20">
        <f>$D$16</f>
        <v>0</v>
      </c>
      <c r="D126" s="618">
        <f>$D$18</f>
        <v>0</v>
      </c>
      <c r="E126" s="618"/>
      <c r="F126" s="618"/>
      <c r="G126" s="618"/>
      <c r="H126" s="618"/>
      <c r="I126" s="618"/>
      <c r="J126" s="618"/>
      <c r="K126" s="618"/>
      <c r="P126" s="613"/>
      <c r="Q126" s="613"/>
      <c r="R126" s="498"/>
      <c r="S126" s="432"/>
      <c r="T126" s="432"/>
      <c r="U126" s="432"/>
      <c r="V126" s="432"/>
      <c r="W126" s="432"/>
      <c r="X126" s="432"/>
      <c r="Y126" s="432"/>
      <c r="Z126" s="432"/>
      <c r="AA126" s="432"/>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c r="BZ126" s="287"/>
      <c r="CA126" s="287"/>
      <c r="CB126" s="287"/>
      <c r="CC126" s="287"/>
      <c r="CD126" s="287"/>
      <c r="CE126" s="287"/>
      <c r="CF126" s="287"/>
      <c r="CG126" s="287"/>
      <c r="CH126" s="287"/>
      <c r="CI126" s="287"/>
      <c r="CJ126" s="287"/>
      <c r="CK126" s="287"/>
      <c r="CL126" s="287"/>
      <c r="CM126" s="287"/>
      <c r="CN126" s="287"/>
      <c r="CO126" s="287"/>
      <c r="CP126" s="287"/>
      <c r="CQ126" s="287"/>
      <c r="CR126" s="287"/>
      <c r="CS126" s="287"/>
      <c r="CT126" s="287"/>
      <c r="CU126" s="287"/>
      <c r="CV126" s="287"/>
      <c r="CW126" s="287"/>
      <c r="CX126" s="287"/>
      <c r="CY126" s="287"/>
      <c r="CZ126" s="287"/>
      <c r="DA126" s="287"/>
      <c r="DB126" s="287"/>
      <c r="DC126" s="287"/>
      <c r="DD126" s="287"/>
      <c r="DE126" s="287"/>
      <c r="DF126" s="287"/>
      <c r="DG126" s="287"/>
      <c r="DH126" s="287"/>
      <c r="DI126" s="287"/>
      <c r="DJ126" s="287"/>
      <c r="DK126" s="287"/>
      <c r="DL126" s="287"/>
      <c r="DM126" s="287"/>
      <c r="DN126" s="287"/>
      <c r="DO126" s="287"/>
      <c r="DP126" s="287"/>
    </row>
    <row r="127" spans="1:148" s="23" customFormat="1" x14ac:dyDescent="0.25">
      <c r="A127" s="205"/>
      <c r="B127" s="585"/>
      <c r="C127" s="585"/>
      <c r="P127" s="439"/>
      <c r="Q127" s="287"/>
      <c r="R127" s="498"/>
      <c r="S127" s="432"/>
      <c r="T127" s="432"/>
      <c r="U127" s="432"/>
      <c r="V127" s="432"/>
      <c r="W127" s="21"/>
      <c r="X127" s="21"/>
      <c r="Y127" s="21"/>
      <c r="Z127" s="21"/>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c r="BZ127" s="287"/>
      <c r="CA127" s="287"/>
      <c r="CB127" s="287"/>
      <c r="CC127" s="287"/>
      <c r="CD127" s="287"/>
      <c r="CE127" s="287"/>
      <c r="CF127" s="287"/>
      <c r="CG127" s="287"/>
      <c r="CH127" s="287"/>
      <c r="CI127" s="287"/>
      <c r="CJ127" s="287"/>
      <c r="CK127" s="287"/>
      <c r="CL127" s="287"/>
      <c r="CM127" s="287"/>
      <c r="CN127" s="287"/>
      <c r="CO127" s="287"/>
      <c r="CP127" s="287"/>
      <c r="CQ127" s="287"/>
      <c r="CR127" s="287"/>
      <c r="CS127" s="287"/>
      <c r="CT127" s="287"/>
      <c r="CU127" s="287"/>
      <c r="CV127" s="287"/>
      <c r="CW127" s="287"/>
      <c r="CX127" s="287"/>
      <c r="CY127" s="287"/>
      <c r="CZ127" s="287"/>
      <c r="DA127" s="287"/>
      <c r="DB127" s="287"/>
      <c r="DC127" s="287"/>
      <c r="DD127" s="287"/>
      <c r="DE127" s="287"/>
      <c r="DF127" s="287"/>
      <c r="DG127" s="287"/>
      <c r="DH127" s="287"/>
      <c r="DI127" s="287"/>
      <c r="DJ127" s="287"/>
      <c r="DK127" s="287"/>
      <c r="DL127" s="287"/>
      <c r="DM127" s="287"/>
      <c r="DN127" s="287"/>
      <c r="DO127" s="287"/>
      <c r="DP127" s="287"/>
    </row>
    <row r="128" spans="1:148" s="23" customFormat="1" ht="23.25" customHeight="1" x14ac:dyDescent="0.25">
      <c r="A128" s="205"/>
      <c r="B128" s="33" t="s">
        <v>13</v>
      </c>
      <c r="C128" s="34"/>
      <c r="D128" s="34"/>
      <c r="E128" s="34"/>
      <c r="F128" s="34"/>
      <c r="G128" s="34"/>
      <c r="H128" s="34"/>
      <c r="I128" s="34"/>
      <c r="J128" s="34"/>
      <c r="K128" s="34"/>
      <c r="L128" s="34"/>
      <c r="M128" s="34"/>
      <c r="N128" s="35"/>
      <c r="P128" s="517"/>
      <c r="Q128" s="287"/>
      <c r="R128" s="287"/>
      <c r="S128" s="21"/>
      <c r="T128" s="21"/>
      <c r="U128" s="21"/>
      <c r="V128" s="21"/>
      <c r="W128" s="21"/>
      <c r="X128" s="21"/>
      <c r="Y128" s="21"/>
      <c r="Z128" s="198"/>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c r="BV128" s="287"/>
      <c r="BW128" s="287"/>
      <c r="BX128" s="287"/>
      <c r="BY128" s="287"/>
      <c r="BZ128" s="287"/>
      <c r="CA128" s="287"/>
      <c r="CB128" s="287"/>
      <c r="CC128" s="287"/>
      <c r="CD128" s="287"/>
      <c r="CE128" s="287"/>
      <c r="CF128" s="287"/>
      <c r="CG128" s="287"/>
      <c r="CH128" s="287"/>
      <c r="CI128" s="287"/>
      <c r="CJ128" s="287"/>
      <c r="CK128" s="287"/>
      <c r="CL128" s="287"/>
      <c r="CM128" s="287"/>
      <c r="CN128" s="287"/>
      <c r="CO128" s="287"/>
      <c r="CP128" s="287"/>
      <c r="CQ128" s="287"/>
      <c r="CR128" s="287"/>
      <c r="CS128" s="287"/>
      <c r="CT128" s="287"/>
      <c r="CU128" s="287"/>
      <c r="CV128" s="287"/>
      <c r="CW128" s="287"/>
      <c r="CX128" s="287"/>
      <c r="CY128" s="287"/>
      <c r="CZ128" s="287"/>
      <c r="DA128" s="287"/>
      <c r="DB128" s="287"/>
      <c r="DC128" s="287"/>
      <c r="DD128" s="287"/>
      <c r="DE128" s="287"/>
      <c r="DF128" s="287"/>
      <c r="DG128" s="287"/>
      <c r="DH128" s="287"/>
      <c r="DI128" s="287"/>
      <c r="DJ128" s="287"/>
      <c r="DK128" s="287"/>
      <c r="DL128" s="287"/>
      <c r="DM128" s="287"/>
      <c r="DN128" s="287"/>
      <c r="DO128" s="287"/>
      <c r="DP128" s="287"/>
    </row>
    <row r="129" spans="1:120" s="23" customFormat="1" ht="43.5" customHeight="1" x14ac:dyDescent="0.25">
      <c r="A129" s="205"/>
      <c r="B129" s="735" t="s">
        <v>84</v>
      </c>
      <c r="C129" s="736"/>
      <c r="D129" s="736"/>
      <c r="E129" s="736"/>
      <c r="F129" s="736"/>
      <c r="G129" s="736"/>
      <c r="H129" s="736"/>
      <c r="I129" s="736"/>
      <c r="J129" s="736"/>
      <c r="K129" s="736"/>
      <c r="L129" s="736"/>
      <c r="M129" s="736"/>
      <c r="N129" s="737"/>
      <c r="P129" s="439"/>
      <c r="Q129" s="287"/>
      <c r="R129" s="287"/>
      <c r="S129" s="347"/>
      <c r="T129" s="347"/>
      <c r="U129" s="347"/>
      <c r="V129" s="347"/>
      <c r="W129" s="347"/>
      <c r="X129" s="347"/>
      <c r="Y129" s="259"/>
      <c r="Z129" s="355"/>
      <c r="AA129" s="355"/>
      <c r="AB129" s="355"/>
      <c r="AC129" s="355"/>
      <c r="AD129" s="355"/>
      <c r="AE129" s="355"/>
      <c r="AF129" s="355"/>
      <c r="AG129" s="355"/>
      <c r="AH129" s="292"/>
      <c r="AI129" s="259"/>
      <c r="BA129" s="287"/>
      <c r="BB129" s="287"/>
      <c r="BC129" s="287"/>
      <c r="BD129" s="287"/>
      <c r="BE129" s="287"/>
      <c r="BF129" s="287"/>
      <c r="BG129" s="287"/>
      <c r="BH129" s="287"/>
      <c r="BI129" s="287"/>
      <c r="BJ129" s="287"/>
      <c r="BK129" s="287"/>
      <c r="BL129" s="287"/>
      <c r="BM129" s="287"/>
      <c r="BN129" s="287"/>
      <c r="BO129" s="287"/>
      <c r="BP129" s="287"/>
      <c r="BQ129" s="287"/>
      <c r="BR129" s="287"/>
      <c r="BS129" s="287"/>
      <c r="BT129" s="287"/>
      <c r="BU129" s="287"/>
      <c r="BV129" s="287"/>
      <c r="BW129" s="287"/>
      <c r="BX129" s="287"/>
      <c r="BY129" s="287"/>
      <c r="BZ129" s="28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87"/>
    </row>
    <row r="130" spans="1:120" s="23" customFormat="1" ht="41.25" customHeight="1" x14ac:dyDescent="0.25">
      <c r="A130" s="205"/>
      <c r="B130" s="738"/>
      <c r="C130" s="739"/>
      <c r="D130" s="740"/>
      <c r="E130" s="353" t="s">
        <v>12</v>
      </c>
      <c r="F130" s="352"/>
      <c r="G130" s="362" t="s">
        <v>129</v>
      </c>
      <c r="H130" s="352"/>
      <c r="I130" s="352"/>
      <c r="J130" s="352"/>
      <c r="K130" s="352"/>
      <c r="L130" s="352"/>
      <c r="M130" s="352"/>
      <c r="N130" s="352"/>
      <c r="P130" s="439"/>
      <c r="Q130" s="287"/>
      <c r="R130" s="287"/>
      <c r="S130" s="347"/>
      <c r="T130" s="347"/>
      <c r="U130" s="347"/>
      <c r="V130" s="347"/>
      <c r="W130" s="347"/>
      <c r="X130" s="347"/>
      <c r="Y130" s="265" t="str">
        <f>IF(AND(N133&lt;&gt;"", P129="",D432&lt;&gt;""),1, "")</f>
        <v/>
      </c>
      <c r="Z130" s="355"/>
      <c r="AA130" s="355"/>
      <c r="AB130" s="355"/>
      <c r="AC130" s="355"/>
      <c r="AD130" s="355"/>
      <c r="AE130" s="355"/>
      <c r="AF130" s="355"/>
      <c r="AG130" s="355"/>
      <c r="AH130" s="292"/>
      <c r="AI130" s="265" t="str">
        <f>IF(AND(N133&lt;&gt;"", Z129="",D432&lt;&gt;""),1, "")</f>
        <v/>
      </c>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c r="BV130" s="287"/>
      <c r="BW130" s="287"/>
      <c r="BX130" s="287"/>
      <c r="BY130" s="287"/>
      <c r="BZ130" s="28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87"/>
    </row>
    <row r="131" spans="1:120" s="23" customFormat="1" ht="42.75" customHeight="1" x14ac:dyDescent="0.25">
      <c r="A131" s="205"/>
      <c r="B131" s="622" t="s">
        <v>67</v>
      </c>
      <c r="C131" s="623"/>
      <c r="D131" s="623"/>
      <c r="E131" s="258" t="str">
        <f>IF(ISBLANK($N$71),"",$N$71)</f>
        <v/>
      </c>
      <c r="F131" s="352"/>
      <c r="G131" s="641"/>
      <c r="H131" s="641"/>
      <c r="I131" s="641"/>
      <c r="J131" s="641"/>
      <c r="K131" s="641"/>
      <c r="L131" s="641"/>
      <c r="M131" s="641"/>
      <c r="N131" s="641"/>
      <c r="O131" s="349" t="str">
        <f>IF(P131=1, "&lt;===", "")</f>
        <v/>
      </c>
      <c r="P131" s="364" t="str">
        <f>IF(AND(E131&lt;&gt;"",G131="",D432&lt;&gt;""), 1, "")</f>
        <v/>
      </c>
      <c r="Q131" s="350"/>
      <c r="R131" s="350"/>
      <c r="S131" s="350"/>
      <c r="T131" s="350"/>
      <c r="U131" s="350"/>
      <c r="V131" s="350"/>
      <c r="W131" s="350"/>
      <c r="X131" s="350"/>
      <c r="Y131" s="350"/>
      <c r="Z131" s="355"/>
      <c r="AA131" s="355"/>
      <c r="AB131" s="355"/>
      <c r="AC131" s="355"/>
      <c r="AD131" s="355"/>
      <c r="AE131" s="355"/>
      <c r="AF131" s="355"/>
      <c r="AG131" s="355"/>
      <c r="AH131" s="292"/>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7"/>
      <c r="BY131" s="287"/>
      <c r="BZ131" s="2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87"/>
    </row>
    <row r="132" spans="1:120" s="23" customFormat="1" ht="46.5" customHeight="1" x14ac:dyDescent="0.25">
      <c r="A132" s="205"/>
      <c r="B132" s="638" t="s">
        <v>126</v>
      </c>
      <c r="C132" s="639"/>
      <c r="D132" s="640"/>
      <c r="E132" s="173"/>
      <c r="F132" s="352"/>
      <c r="G132" s="641"/>
      <c r="H132" s="641"/>
      <c r="I132" s="641"/>
      <c r="J132" s="641"/>
      <c r="K132" s="641"/>
      <c r="L132" s="641"/>
      <c r="M132" s="641"/>
      <c r="N132" s="641"/>
      <c r="O132" s="349" t="str">
        <f>IF(P132=1, "&lt;===", "")</f>
        <v/>
      </c>
      <c r="P132" s="364" t="str">
        <f>IF(AND(E131&lt;&gt;"",E132="",D432&lt;&gt;""), 1, "")</f>
        <v/>
      </c>
      <c r="Q132" s="350"/>
      <c r="R132" s="350"/>
      <c r="S132" s="350"/>
      <c r="T132" s="350"/>
      <c r="U132" s="350"/>
      <c r="V132" s="350"/>
      <c r="W132" s="350"/>
      <c r="X132" s="350"/>
      <c r="Y132" s="350"/>
      <c r="Z132" s="355"/>
      <c r="AA132" s="355"/>
      <c r="AB132" s="355"/>
      <c r="AC132" s="355"/>
      <c r="AD132" s="355"/>
      <c r="AE132" s="355"/>
      <c r="AF132" s="355"/>
      <c r="AG132" s="355"/>
      <c r="AH132" s="292"/>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c r="BV132" s="287"/>
      <c r="BW132" s="287"/>
      <c r="BX132" s="287"/>
      <c r="BY132" s="287"/>
      <c r="BZ132" s="287"/>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87"/>
    </row>
    <row r="133" spans="1:120" s="23" customFormat="1" ht="42.75" customHeight="1" x14ac:dyDescent="0.25">
      <c r="A133" s="205"/>
      <c r="B133" s="633" t="s">
        <v>127</v>
      </c>
      <c r="C133" s="634"/>
      <c r="D133" s="635"/>
      <c r="E133" s="354"/>
      <c r="F133" s="352"/>
      <c r="G133" s="641"/>
      <c r="H133" s="641"/>
      <c r="I133" s="641"/>
      <c r="J133" s="641"/>
      <c r="K133" s="641"/>
      <c r="L133" s="641"/>
      <c r="M133" s="641"/>
      <c r="N133" s="641"/>
      <c r="O133" s="349" t="str">
        <f>IF(P133=1, "&lt;===", "")</f>
        <v/>
      </c>
      <c r="P133" s="364" t="str">
        <f>IF(AND(E131&lt;&gt;"",E133="",D432&lt;&gt;""), 1, "")</f>
        <v/>
      </c>
      <c r="Q133" s="350"/>
      <c r="R133" s="350"/>
      <c r="S133" s="350"/>
      <c r="T133" s="350"/>
      <c r="U133" s="350"/>
      <c r="V133" s="350"/>
      <c r="W133" s="350"/>
      <c r="X133" s="350"/>
      <c r="Y133" s="350"/>
      <c r="Z133" s="355"/>
      <c r="AA133" s="355"/>
      <c r="AB133" s="355"/>
      <c r="AC133" s="355"/>
      <c r="AD133" s="355"/>
      <c r="AE133" s="355"/>
      <c r="AF133" s="355"/>
      <c r="AG133" s="355"/>
      <c r="AH133" s="292"/>
      <c r="BA133" s="287"/>
      <c r="BB133" s="287"/>
      <c r="BC133" s="287"/>
      <c r="BD133" s="287"/>
      <c r="BE133" s="287"/>
      <c r="BF133" s="287"/>
      <c r="BG133" s="287"/>
      <c r="BH133" s="287"/>
      <c r="BI133" s="287"/>
      <c r="BJ133" s="287"/>
      <c r="BK133" s="287"/>
      <c r="BL133" s="287"/>
      <c r="BM133" s="287"/>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87"/>
    </row>
    <row r="134" spans="1:120" s="23" customFormat="1" ht="46.5" customHeight="1" x14ac:dyDescent="0.25">
      <c r="A134" s="205"/>
      <c r="B134" s="619"/>
      <c r="C134" s="620"/>
      <c r="D134" s="620"/>
      <c r="E134" s="357"/>
      <c r="F134" s="358"/>
      <c r="G134" s="641"/>
      <c r="H134" s="641"/>
      <c r="I134" s="641"/>
      <c r="J134" s="641"/>
      <c r="K134" s="641"/>
      <c r="L134" s="641"/>
      <c r="M134" s="641"/>
      <c r="N134" s="641"/>
      <c r="O134" s="350"/>
      <c r="P134" s="3"/>
      <c r="Q134" s="350"/>
      <c r="R134" s="350"/>
      <c r="S134" s="350"/>
      <c r="T134" s="350"/>
      <c r="U134" s="350"/>
      <c r="V134" s="350"/>
      <c r="W134" s="350"/>
      <c r="X134" s="350"/>
      <c r="Y134" s="350"/>
      <c r="Z134" s="355"/>
      <c r="AA134" s="355"/>
      <c r="AB134" s="355"/>
      <c r="AC134" s="355"/>
      <c r="AD134" s="355"/>
      <c r="AE134" s="355"/>
      <c r="AF134" s="355"/>
      <c r="AG134" s="355"/>
      <c r="AH134" s="292"/>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87"/>
    </row>
    <row r="135" spans="1:120" s="256" customFormat="1" ht="46.5" customHeight="1" x14ac:dyDescent="0.25">
      <c r="A135" s="205"/>
      <c r="B135" s="616"/>
      <c r="C135" s="616"/>
      <c r="D135" s="616"/>
      <c r="E135" s="358"/>
      <c r="F135" s="358"/>
      <c r="G135" s="641"/>
      <c r="H135" s="641"/>
      <c r="I135" s="641"/>
      <c r="J135" s="641"/>
      <c r="K135" s="641"/>
      <c r="L135" s="641"/>
      <c r="M135" s="641"/>
      <c r="N135" s="641"/>
      <c r="O135" s="350"/>
      <c r="P135" s="3"/>
      <c r="Q135" s="350"/>
      <c r="R135" s="350"/>
      <c r="S135" s="350"/>
      <c r="T135" s="350"/>
      <c r="U135" s="350"/>
      <c r="V135" s="350"/>
      <c r="W135" s="350"/>
      <c r="X135" s="350"/>
      <c r="Y135" s="350"/>
      <c r="Z135" s="355"/>
      <c r="AA135" s="355"/>
      <c r="AB135" s="355"/>
      <c r="AC135" s="355"/>
      <c r="AD135" s="355"/>
      <c r="AE135" s="355"/>
      <c r="AF135" s="355"/>
      <c r="AG135" s="355"/>
      <c r="AH135" s="292"/>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row>
    <row r="136" spans="1:120" s="23" customFormat="1" ht="34.5" customHeight="1" x14ac:dyDescent="0.25">
      <c r="A136" s="13"/>
      <c r="B136" s="620"/>
      <c r="C136" s="624"/>
      <c r="D136" s="624"/>
      <c r="E136" s="351"/>
      <c r="F136" s="351"/>
      <c r="G136" s="363" t="s">
        <v>128</v>
      </c>
      <c r="H136" s="351"/>
      <c r="I136" s="351"/>
      <c r="J136" s="351"/>
      <c r="K136" s="351"/>
      <c r="L136" s="351"/>
      <c r="M136" s="351"/>
      <c r="N136" s="351"/>
      <c r="P136" s="3"/>
      <c r="BA136" s="287"/>
      <c r="BB136" s="287"/>
      <c r="BC136" s="287"/>
      <c r="BD136" s="287"/>
      <c r="BE136" s="287"/>
      <c r="BF136" s="287"/>
      <c r="BG136" s="287"/>
      <c r="BH136" s="287"/>
      <c r="BI136" s="287"/>
      <c r="BJ136" s="287"/>
      <c r="BK136" s="287"/>
      <c r="BL136" s="287"/>
      <c r="BM136" s="287"/>
      <c r="BN136" s="287"/>
      <c r="BO136" s="287"/>
      <c r="BP136" s="287"/>
      <c r="BQ136" s="287"/>
      <c r="BR136" s="287"/>
      <c r="BS136" s="287"/>
      <c r="BT136" s="287"/>
      <c r="BU136" s="287"/>
      <c r="BV136" s="287"/>
      <c r="BW136" s="287"/>
      <c r="BX136" s="287"/>
      <c r="BY136" s="287"/>
      <c r="BZ136" s="287"/>
      <c r="CA136" s="287"/>
      <c r="CB136" s="287"/>
      <c r="CC136" s="287"/>
      <c r="CD136" s="287"/>
      <c r="CE136" s="287"/>
      <c r="CF136" s="287"/>
      <c r="CG136" s="287"/>
      <c r="CH136" s="287"/>
      <c r="CI136" s="287"/>
      <c r="CJ136" s="287"/>
      <c r="CK136" s="287"/>
      <c r="CL136" s="287"/>
      <c r="CM136" s="287"/>
      <c r="CN136" s="287"/>
      <c r="CO136" s="287"/>
      <c r="CP136" s="287"/>
      <c r="CQ136" s="287"/>
      <c r="CR136" s="287"/>
      <c r="CS136" s="287"/>
      <c r="CT136" s="287"/>
      <c r="CU136" s="287"/>
      <c r="CV136" s="287"/>
      <c r="CW136" s="287"/>
      <c r="CX136" s="287"/>
      <c r="CY136" s="287"/>
      <c r="CZ136" s="287"/>
      <c r="DA136" s="287"/>
      <c r="DB136" s="287"/>
      <c r="DC136" s="287"/>
      <c r="DD136" s="287"/>
      <c r="DE136" s="287"/>
      <c r="DF136" s="287"/>
      <c r="DG136" s="287"/>
      <c r="DH136" s="287"/>
      <c r="DI136" s="287"/>
      <c r="DJ136" s="287"/>
      <c r="DK136" s="287"/>
      <c r="DL136" s="287"/>
      <c r="DM136" s="287"/>
      <c r="DN136" s="287"/>
      <c r="DO136" s="287"/>
      <c r="DP136" s="287"/>
    </row>
    <row r="137" spans="1:120" s="42" customFormat="1" ht="42.75" customHeight="1" x14ac:dyDescent="0.25">
      <c r="A137" s="13"/>
      <c r="B137" s="620"/>
      <c r="C137" s="624"/>
      <c r="D137" s="624"/>
      <c r="E137" s="351"/>
      <c r="F137" s="351"/>
      <c r="G137" s="641"/>
      <c r="H137" s="641"/>
      <c r="I137" s="641"/>
      <c r="J137" s="641"/>
      <c r="K137" s="641"/>
      <c r="L137" s="641"/>
      <c r="M137" s="641"/>
      <c r="N137" s="641"/>
      <c r="O137" s="349" t="str">
        <f>IF(P137=1, "&lt;===", "")</f>
        <v/>
      </c>
      <c r="P137" s="364" t="str">
        <f>IF(AND(E131&lt;&gt;"",G137="",D432&lt;&gt;""), 1, "")</f>
        <v/>
      </c>
      <c r="Q137" s="23"/>
      <c r="R137" s="23"/>
      <c r="S137" s="23"/>
      <c r="T137" s="23"/>
      <c r="U137" s="23"/>
      <c r="V137" s="23"/>
      <c r="W137" s="23"/>
      <c r="X137" s="23"/>
      <c r="Y137" s="23"/>
      <c r="Z137" s="23"/>
      <c r="BA137" s="287"/>
      <c r="BB137" s="287"/>
      <c r="BC137" s="287"/>
      <c r="BD137" s="287"/>
      <c r="BE137" s="287"/>
      <c r="BF137" s="287"/>
      <c r="BG137" s="287"/>
      <c r="BH137" s="287"/>
      <c r="BI137" s="287"/>
      <c r="BJ137" s="287"/>
      <c r="BK137" s="287"/>
      <c r="BL137" s="287"/>
      <c r="BM137" s="287"/>
      <c r="BN137" s="287"/>
      <c r="BO137" s="287"/>
      <c r="BP137" s="287"/>
      <c r="BQ137" s="287"/>
      <c r="BR137" s="287"/>
      <c r="BS137" s="287"/>
      <c r="BT137" s="287"/>
      <c r="BU137" s="287"/>
      <c r="BV137" s="287"/>
      <c r="BW137" s="287"/>
      <c r="BX137" s="287"/>
      <c r="BY137" s="287"/>
      <c r="BZ137" s="287"/>
      <c r="CA137" s="287"/>
      <c r="CB137" s="287"/>
      <c r="CC137" s="287"/>
      <c r="CD137" s="287"/>
      <c r="CE137" s="287"/>
      <c r="CF137" s="287"/>
      <c r="CG137" s="287"/>
      <c r="CH137" s="287"/>
      <c r="CI137" s="287"/>
      <c r="CJ137" s="287"/>
      <c r="CK137" s="287"/>
      <c r="CL137" s="287"/>
      <c r="CM137" s="287"/>
      <c r="CN137" s="287"/>
      <c r="CO137" s="287"/>
      <c r="CP137" s="287"/>
      <c r="CQ137" s="287"/>
      <c r="CR137" s="287"/>
      <c r="CS137" s="287"/>
      <c r="CT137" s="287"/>
      <c r="CU137" s="287"/>
      <c r="CV137" s="287"/>
      <c r="CW137" s="287"/>
      <c r="CX137" s="287"/>
      <c r="CY137" s="287"/>
      <c r="CZ137" s="287"/>
      <c r="DA137" s="287"/>
      <c r="DB137" s="287"/>
      <c r="DC137" s="287"/>
      <c r="DD137" s="287"/>
      <c r="DE137" s="287"/>
      <c r="DF137" s="287"/>
      <c r="DG137" s="287"/>
      <c r="DH137" s="287"/>
      <c r="DI137" s="287"/>
      <c r="DJ137" s="287"/>
      <c r="DK137" s="287"/>
      <c r="DL137" s="287"/>
      <c r="DM137" s="287"/>
      <c r="DN137" s="287"/>
      <c r="DO137" s="287"/>
      <c r="DP137" s="287"/>
    </row>
    <row r="138" spans="1:120" s="23" customFormat="1" ht="46.5" customHeight="1" x14ac:dyDescent="0.25">
      <c r="A138" s="13"/>
      <c r="B138" s="620"/>
      <c r="C138" s="624"/>
      <c r="D138" s="624"/>
      <c r="E138" s="351"/>
      <c r="F138" s="351"/>
      <c r="G138" s="641"/>
      <c r="H138" s="641"/>
      <c r="I138" s="641"/>
      <c r="J138" s="641"/>
      <c r="K138" s="641"/>
      <c r="L138" s="641"/>
      <c r="M138" s="641"/>
      <c r="N138" s="641"/>
      <c r="P138" s="3"/>
      <c r="BA138" s="287"/>
      <c r="BB138" s="287"/>
      <c r="BC138" s="287"/>
      <c r="BD138" s="287"/>
      <c r="BE138" s="287"/>
      <c r="BF138" s="287"/>
      <c r="BG138" s="287"/>
      <c r="BH138" s="287"/>
      <c r="BI138" s="287"/>
      <c r="BJ138" s="287"/>
      <c r="BK138" s="287"/>
      <c r="BL138" s="287"/>
      <c r="BM138" s="287"/>
      <c r="BN138" s="287"/>
      <c r="BO138" s="287"/>
      <c r="BP138" s="287"/>
      <c r="BQ138" s="287"/>
      <c r="BR138" s="287"/>
      <c r="BS138" s="287"/>
      <c r="BT138" s="287"/>
      <c r="BU138" s="287"/>
      <c r="BV138" s="287"/>
      <c r="BW138" s="287"/>
      <c r="BX138" s="287"/>
      <c r="BY138" s="287"/>
      <c r="BZ138" s="287"/>
      <c r="CA138" s="287"/>
      <c r="CB138" s="287"/>
      <c r="CC138" s="287"/>
      <c r="CD138" s="287"/>
      <c r="CE138" s="287"/>
      <c r="CF138" s="287"/>
      <c r="CG138" s="287"/>
      <c r="CH138" s="287"/>
      <c r="CI138" s="287"/>
      <c r="CJ138" s="287"/>
      <c r="CK138" s="287"/>
      <c r="CL138" s="287"/>
      <c r="CM138" s="287"/>
      <c r="CN138" s="287"/>
      <c r="CO138" s="287"/>
      <c r="CP138" s="287"/>
      <c r="CQ138" s="287"/>
      <c r="CR138" s="287"/>
      <c r="CS138" s="287"/>
      <c r="CT138" s="287"/>
      <c r="CU138" s="287"/>
      <c r="CV138" s="287"/>
      <c r="CW138" s="287"/>
      <c r="CX138" s="287"/>
      <c r="CY138" s="287"/>
      <c r="CZ138" s="287"/>
      <c r="DA138" s="287"/>
      <c r="DB138" s="287"/>
      <c r="DC138" s="287"/>
      <c r="DD138" s="287"/>
      <c r="DE138" s="287"/>
      <c r="DF138" s="287"/>
      <c r="DG138" s="287"/>
      <c r="DH138" s="287"/>
      <c r="DI138" s="287"/>
      <c r="DJ138" s="287"/>
      <c r="DK138" s="287"/>
      <c r="DL138" s="287"/>
      <c r="DM138" s="287"/>
      <c r="DN138" s="287"/>
      <c r="DO138" s="287"/>
      <c r="DP138" s="287"/>
    </row>
    <row r="139" spans="1:120" s="42" customFormat="1" ht="42.75" customHeight="1" x14ac:dyDescent="0.25">
      <c r="A139" s="13"/>
      <c r="B139" s="359"/>
      <c r="C139" s="360"/>
      <c r="D139" s="359"/>
      <c r="E139" s="361"/>
      <c r="F139" s="361"/>
      <c r="G139" s="641"/>
      <c r="H139" s="641"/>
      <c r="I139" s="641"/>
      <c r="J139" s="641"/>
      <c r="K139" s="641"/>
      <c r="L139" s="641"/>
      <c r="M139" s="641"/>
      <c r="N139" s="641"/>
      <c r="P139" s="3"/>
      <c r="Q139" s="23"/>
      <c r="R139" s="23"/>
      <c r="S139" s="23"/>
      <c r="T139" s="23"/>
      <c r="U139" s="23"/>
      <c r="V139" s="23"/>
      <c r="W139" s="23"/>
      <c r="X139" s="23"/>
      <c r="Y139" s="23"/>
      <c r="Z139" s="23"/>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c r="BV139" s="287"/>
      <c r="BW139" s="287"/>
      <c r="BX139" s="287"/>
      <c r="BY139" s="287"/>
      <c r="BZ139" s="287"/>
      <c r="CA139" s="287"/>
      <c r="CB139" s="287"/>
      <c r="CC139" s="287"/>
      <c r="CD139" s="287"/>
      <c r="CE139" s="287"/>
      <c r="CF139" s="287"/>
      <c r="CG139" s="287"/>
      <c r="CH139" s="287"/>
      <c r="CI139" s="287"/>
      <c r="CJ139" s="287"/>
      <c r="CK139" s="287"/>
      <c r="CL139" s="287"/>
      <c r="CM139" s="287"/>
      <c r="CN139" s="287"/>
      <c r="CO139" s="287"/>
      <c r="CP139" s="287"/>
      <c r="CQ139" s="287"/>
      <c r="CR139" s="287"/>
      <c r="CS139" s="287"/>
      <c r="CT139" s="287"/>
      <c r="CU139" s="287"/>
      <c r="CV139" s="287"/>
      <c r="CW139" s="287"/>
      <c r="CX139" s="287"/>
      <c r="CY139" s="287"/>
      <c r="CZ139" s="287"/>
      <c r="DA139" s="287"/>
      <c r="DB139" s="287"/>
      <c r="DC139" s="287"/>
      <c r="DD139" s="287"/>
      <c r="DE139" s="287"/>
      <c r="DF139" s="287"/>
      <c r="DG139" s="287"/>
      <c r="DH139" s="287"/>
      <c r="DI139" s="287"/>
      <c r="DJ139" s="287"/>
      <c r="DK139" s="287"/>
      <c r="DL139" s="287"/>
      <c r="DM139" s="287"/>
      <c r="DN139" s="287"/>
      <c r="DO139" s="287"/>
      <c r="DP139" s="287"/>
    </row>
    <row r="140" spans="1:120" s="42" customFormat="1" ht="46.5" customHeight="1" x14ac:dyDescent="0.25">
      <c r="A140" s="13"/>
      <c r="B140" s="359"/>
      <c r="C140" s="360"/>
      <c r="D140" s="359"/>
      <c r="E140" s="361"/>
      <c r="F140" s="361"/>
      <c r="G140" s="641"/>
      <c r="H140" s="641"/>
      <c r="I140" s="641"/>
      <c r="J140" s="641"/>
      <c r="K140" s="641"/>
      <c r="L140" s="641"/>
      <c r="M140" s="641"/>
      <c r="N140" s="641"/>
      <c r="P140" s="3"/>
      <c r="Q140" s="23"/>
      <c r="R140" s="23"/>
      <c r="S140" s="23"/>
      <c r="T140" s="23"/>
      <c r="U140" s="23"/>
      <c r="V140" s="23"/>
      <c r="W140" s="23"/>
      <c r="X140" s="23"/>
      <c r="Y140" s="23"/>
      <c r="Z140" s="23"/>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c r="BV140" s="287"/>
      <c r="BW140" s="287"/>
      <c r="BX140" s="287"/>
      <c r="BY140" s="287"/>
      <c r="BZ140" s="287"/>
      <c r="CA140" s="287"/>
      <c r="CB140" s="287"/>
      <c r="CC140" s="287"/>
      <c r="CD140" s="287"/>
      <c r="CE140" s="287"/>
      <c r="CF140" s="287"/>
      <c r="CG140" s="287"/>
      <c r="CH140" s="287"/>
      <c r="CI140" s="287"/>
      <c r="CJ140" s="287"/>
      <c r="CK140" s="287"/>
      <c r="CL140" s="287"/>
      <c r="CM140" s="287"/>
      <c r="CN140" s="287"/>
      <c r="CO140" s="287"/>
      <c r="CP140" s="287"/>
      <c r="CQ140" s="287"/>
      <c r="CR140" s="287"/>
      <c r="CS140" s="287"/>
      <c r="CT140" s="287"/>
      <c r="CU140" s="287"/>
      <c r="CV140" s="287"/>
      <c r="CW140" s="287"/>
      <c r="CX140" s="287"/>
      <c r="CY140" s="287"/>
      <c r="CZ140" s="287"/>
      <c r="DA140" s="287"/>
      <c r="DB140" s="287"/>
      <c r="DC140" s="287"/>
      <c r="DD140" s="287"/>
      <c r="DE140" s="287"/>
      <c r="DF140" s="287"/>
      <c r="DG140" s="287"/>
      <c r="DH140" s="287"/>
      <c r="DI140" s="287"/>
      <c r="DJ140" s="287"/>
      <c r="DK140" s="287"/>
      <c r="DL140" s="287"/>
      <c r="DM140" s="287"/>
      <c r="DN140" s="287"/>
      <c r="DO140" s="287"/>
      <c r="DP140" s="287"/>
    </row>
    <row r="141" spans="1:120" s="42" customFormat="1" ht="46.5" customHeight="1" x14ac:dyDescent="0.25">
      <c r="A141" s="13"/>
      <c r="B141" s="359"/>
      <c r="C141" s="360"/>
      <c r="D141" s="359"/>
      <c r="E141" s="361"/>
      <c r="F141" s="361"/>
      <c r="G141" s="641"/>
      <c r="H141" s="641"/>
      <c r="I141" s="641"/>
      <c r="J141" s="641"/>
      <c r="K141" s="641"/>
      <c r="L141" s="641"/>
      <c r="M141" s="641"/>
      <c r="N141" s="641"/>
      <c r="O141" s="56"/>
      <c r="P141" s="394"/>
      <c r="Q141" s="56"/>
      <c r="R141" s="56"/>
      <c r="S141" s="56"/>
      <c r="T141" s="56"/>
      <c r="U141" s="56"/>
      <c r="BA141" s="287"/>
      <c r="BB141" s="287"/>
      <c r="BC141" s="287"/>
      <c r="BD141" s="287"/>
      <c r="BE141" s="287"/>
      <c r="BF141" s="287"/>
      <c r="BG141" s="287"/>
      <c r="BH141" s="287"/>
      <c r="BI141" s="287"/>
      <c r="BJ141" s="287"/>
      <c r="BK141" s="287"/>
      <c r="BL141" s="287"/>
      <c r="BM141" s="287"/>
      <c r="BN141" s="287"/>
      <c r="BO141" s="287"/>
      <c r="BP141" s="287"/>
      <c r="BQ141" s="287"/>
      <c r="BR141" s="287"/>
      <c r="BS141" s="287"/>
      <c r="BT141" s="287"/>
      <c r="BU141" s="287"/>
      <c r="BV141" s="287"/>
      <c r="BW141" s="287"/>
      <c r="BX141" s="287"/>
      <c r="BY141" s="287"/>
      <c r="BZ141" s="287"/>
      <c r="CA141" s="287"/>
      <c r="CB141" s="287"/>
      <c r="CC141" s="287"/>
      <c r="CD141" s="287"/>
      <c r="CE141" s="287"/>
      <c r="CF141" s="287"/>
      <c r="CG141" s="287"/>
      <c r="CH141" s="287"/>
      <c r="CI141" s="287"/>
      <c r="CJ141" s="287"/>
      <c r="CK141" s="287"/>
      <c r="CL141" s="287"/>
      <c r="CM141" s="287"/>
      <c r="CN141" s="287"/>
      <c r="CO141" s="287"/>
      <c r="CP141" s="287"/>
      <c r="CQ141" s="287"/>
      <c r="CR141" s="287"/>
      <c r="CS141" s="287"/>
      <c r="CT141" s="287"/>
      <c r="CU141" s="287"/>
      <c r="CV141" s="287"/>
      <c r="CW141" s="287"/>
      <c r="CX141" s="287"/>
      <c r="CY141" s="287"/>
      <c r="CZ141" s="287"/>
      <c r="DA141" s="287"/>
      <c r="DB141" s="287"/>
      <c r="DC141" s="287"/>
      <c r="DD141" s="287"/>
      <c r="DE141" s="287"/>
      <c r="DF141" s="287"/>
      <c r="DG141" s="287"/>
      <c r="DH141" s="287"/>
      <c r="DI141" s="287"/>
      <c r="DJ141" s="287"/>
      <c r="DK141" s="287"/>
      <c r="DL141" s="287"/>
      <c r="DM141" s="287"/>
      <c r="DN141" s="287"/>
      <c r="DO141" s="287"/>
      <c r="DP141" s="287"/>
    </row>
    <row r="142" spans="1:120" s="42" customFormat="1" ht="18" customHeight="1" x14ac:dyDescent="0.25">
      <c r="A142" s="13"/>
      <c r="B142" s="359"/>
      <c r="C142" s="360"/>
      <c r="D142" s="359"/>
      <c r="E142" s="361"/>
      <c r="F142" s="361"/>
      <c r="G142" s="361"/>
      <c r="H142" s="361"/>
      <c r="I142" s="361"/>
      <c r="J142" s="361"/>
      <c r="K142" s="361"/>
      <c r="L142" s="361"/>
      <c r="M142" s="361"/>
      <c r="N142" s="361"/>
      <c r="P142" s="3"/>
      <c r="Q142" s="23"/>
      <c r="R142" s="23"/>
      <c r="S142" s="23"/>
      <c r="T142" s="23"/>
      <c r="U142" s="23"/>
      <c r="V142" s="23"/>
      <c r="W142" s="23"/>
      <c r="X142" s="23"/>
      <c r="Y142" s="23"/>
      <c r="Z142" s="23"/>
      <c r="BA142" s="287"/>
      <c r="BB142" s="287"/>
      <c r="BC142" s="287"/>
      <c r="BD142" s="287"/>
      <c r="BE142" s="287"/>
      <c r="BF142" s="287"/>
      <c r="BG142" s="287"/>
      <c r="BH142" s="287"/>
      <c r="BI142" s="287"/>
      <c r="BJ142" s="287"/>
      <c r="BK142" s="287"/>
      <c r="BL142" s="287"/>
      <c r="BM142" s="287"/>
      <c r="BN142" s="287"/>
      <c r="BO142" s="287"/>
      <c r="BP142" s="287"/>
      <c r="BQ142" s="287"/>
      <c r="BR142" s="287"/>
      <c r="BS142" s="287"/>
      <c r="BT142" s="287"/>
      <c r="BU142" s="287"/>
      <c r="BV142" s="287"/>
      <c r="BW142" s="287"/>
      <c r="BX142" s="287"/>
      <c r="BY142" s="287"/>
      <c r="BZ142" s="287"/>
      <c r="CA142" s="287"/>
      <c r="CB142" s="287"/>
      <c r="CC142" s="287"/>
      <c r="CD142" s="287"/>
      <c r="CE142" s="287"/>
      <c r="CF142" s="287"/>
      <c r="CG142" s="287"/>
      <c r="CH142" s="287"/>
      <c r="CI142" s="287"/>
      <c r="CJ142" s="287"/>
      <c r="CK142" s="287"/>
      <c r="CL142" s="287"/>
      <c r="CM142" s="287"/>
      <c r="CN142" s="287"/>
      <c r="CO142" s="287"/>
      <c r="CP142" s="287"/>
      <c r="CQ142" s="287"/>
      <c r="CR142" s="287"/>
      <c r="CS142" s="287"/>
      <c r="CT142" s="287"/>
      <c r="CU142" s="287"/>
      <c r="CV142" s="287"/>
      <c r="CW142" s="287"/>
      <c r="CX142" s="287"/>
      <c r="CY142" s="287"/>
      <c r="CZ142" s="287"/>
      <c r="DA142" s="287"/>
      <c r="DB142" s="287"/>
      <c r="DC142" s="287"/>
      <c r="DD142" s="287"/>
      <c r="DE142" s="287"/>
      <c r="DF142" s="287"/>
      <c r="DG142" s="287"/>
      <c r="DH142" s="287"/>
      <c r="DI142" s="287"/>
      <c r="DJ142" s="287"/>
      <c r="DK142" s="287"/>
      <c r="DL142" s="287"/>
      <c r="DM142" s="287"/>
      <c r="DN142" s="287"/>
      <c r="DO142" s="287"/>
      <c r="DP142" s="287"/>
    </row>
    <row r="143" spans="1:120" s="42" customFormat="1" ht="20.25" hidden="1" customHeight="1" x14ac:dyDescent="0.25">
      <c r="A143" s="13"/>
      <c r="B143" s="582" t="s">
        <v>17</v>
      </c>
      <c r="C143" s="583"/>
      <c r="D143" s="584"/>
      <c r="E143" s="144" t="str">
        <f>IF(OR(E139="",E140="",E141="",E142=""),"",SUM(E139:E142))</f>
        <v/>
      </c>
      <c r="F143" s="144" t="str">
        <f t="shared" ref="F143:M143" si="18">IF(OR(F139="",F140="",F141="",F142=""),"",SUM(F139:F142))</f>
        <v/>
      </c>
      <c r="G143" s="144" t="str">
        <f t="shared" si="18"/>
        <v/>
      </c>
      <c r="H143" s="144" t="str">
        <f t="shared" si="18"/>
        <v/>
      </c>
      <c r="I143" s="144" t="str">
        <f t="shared" si="18"/>
        <v/>
      </c>
      <c r="J143" s="144" t="str">
        <f t="shared" si="18"/>
        <v/>
      </c>
      <c r="K143" s="144" t="str">
        <f t="shared" si="18"/>
        <v/>
      </c>
      <c r="L143" s="144" t="str">
        <f t="shared" si="18"/>
        <v/>
      </c>
      <c r="M143" s="144" t="str">
        <f t="shared" si="18"/>
        <v/>
      </c>
      <c r="N143" s="30" t="str">
        <f>IF(COUNT(N138:N142),SUM(N138:N142),"")</f>
        <v/>
      </c>
      <c r="O143" s="603"/>
      <c r="P143" s="604"/>
      <c r="Q143" s="604"/>
      <c r="R143" s="604"/>
      <c r="S143" s="604"/>
      <c r="T143" s="604"/>
      <c r="U143" s="604"/>
      <c r="V143" s="604"/>
      <c r="W143" s="604"/>
      <c r="X143" s="604"/>
      <c r="Y143" s="604"/>
      <c r="BA143" s="287"/>
      <c r="BB143" s="287"/>
      <c r="BC143" s="287"/>
      <c r="BD143" s="287"/>
      <c r="BE143" s="287"/>
      <c r="BF143" s="287"/>
      <c r="BG143" s="287"/>
      <c r="BH143" s="287"/>
      <c r="BI143" s="287"/>
      <c r="BJ143" s="287"/>
      <c r="BK143" s="287"/>
      <c r="BL143" s="287"/>
      <c r="BM143" s="287"/>
      <c r="BN143" s="287"/>
      <c r="BO143" s="287"/>
      <c r="BP143" s="287"/>
      <c r="BQ143" s="287"/>
      <c r="BR143" s="287"/>
      <c r="BS143" s="287"/>
      <c r="BT143" s="287"/>
      <c r="BU143" s="287"/>
      <c r="BV143" s="287"/>
      <c r="BW143" s="287"/>
      <c r="BX143" s="287"/>
      <c r="BY143" s="287"/>
      <c r="BZ143" s="287"/>
      <c r="CA143" s="287"/>
      <c r="CB143" s="287"/>
      <c r="CC143" s="287"/>
      <c r="CD143" s="287"/>
      <c r="CE143" s="287"/>
      <c r="CF143" s="287"/>
      <c r="CG143" s="287"/>
      <c r="CH143" s="287"/>
      <c r="CI143" s="287"/>
      <c r="CJ143" s="287"/>
      <c r="CK143" s="287"/>
      <c r="CL143" s="287"/>
      <c r="CM143" s="287"/>
      <c r="CN143" s="287"/>
      <c r="CO143" s="287"/>
      <c r="CP143" s="287"/>
      <c r="CQ143" s="287"/>
      <c r="CR143" s="287"/>
      <c r="CS143" s="287"/>
      <c r="CT143" s="287"/>
      <c r="CU143" s="287"/>
      <c r="CV143" s="287"/>
      <c r="CW143" s="287"/>
      <c r="CX143" s="287"/>
      <c r="CY143" s="287"/>
      <c r="CZ143" s="287"/>
      <c r="DA143" s="287"/>
      <c r="DB143" s="287"/>
      <c r="DC143" s="287"/>
      <c r="DD143" s="287"/>
      <c r="DE143" s="287"/>
      <c r="DF143" s="287"/>
      <c r="DG143" s="287"/>
      <c r="DH143" s="287"/>
      <c r="DI143" s="287"/>
      <c r="DJ143" s="287"/>
      <c r="DK143" s="287"/>
      <c r="DL143" s="287"/>
      <c r="DM143" s="287"/>
      <c r="DN143" s="287"/>
      <c r="DO143" s="287"/>
      <c r="DP143" s="287"/>
    </row>
    <row r="144" spans="1:120" s="42" customFormat="1" ht="31.5" hidden="1" customHeight="1" x14ac:dyDescent="0.25">
      <c r="A144" s="13"/>
      <c r="B144" s="590" t="s">
        <v>34</v>
      </c>
      <c r="C144" s="591"/>
      <c r="D144" s="591"/>
      <c r="E144" s="137"/>
      <c r="F144" s="137"/>
      <c r="G144" s="137"/>
      <c r="H144" s="137"/>
      <c r="I144" s="137"/>
      <c r="J144" s="137"/>
      <c r="K144" s="137"/>
      <c r="L144" s="137"/>
      <c r="M144" s="137"/>
      <c r="N144" s="150"/>
      <c r="P144" s="3"/>
      <c r="BA144" s="287"/>
      <c r="BB144" s="287"/>
      <c r="BC144" s="287"/>
      <c r="BD144" s="287"/>
      <c r="BE144" s="287"/>
      <c r="BF144" s="287"/>
      <c r="BG144" s="287"/>
      <c r="BH144" s="287"/>
      <c r="BI144" s="287"/>
      <c r="BJ144" s="287"/>
      <c r="BK144" s="287"/>
      <c r="BL144" s="287"/>
      <c r="BM144" s="287"/>
      <c r="BN144" s="287"/>
      <c r="BO144" s="287"/>
      <c r="BP144" s="287"/>
      <c r="BQ144" s="287"/>
      <c r="BR144" s="287"/>
      <c r="BS144" s="287"/>
      <c r="BT144" s="287"/>
      <c r="BU144" s="287"/>
      <c r="BV144" s="287"/>
      <c r="BW144" s="287"/>
      <c r="BX144" s="287"/>
      <c r="BY144" s="287"/>
      <c r="BZ144" s="287"/>
      <c r="CA144" s="287"/>
      <c r="CB144" s="287"/>
      <c r="CC144" s="287"/>
      <c r="CD144" s="287"/>
      <c r="CE144" s="287"/>
      <c r="CF144" s="287"/>
      <c r="CG144" s="287"/>
      <c r="CH144" s="287"/>
      <c r="CI144" s="287"/>
      <c r="CJ144" s="287"/>
      <c r="CK144" s="287"/>
      <c r="CL144" s="287"/>
      <c r="CM144" s="287"/>
      <c r="CN144" s="287"/>
      <c r="CO144" s="287"/>
      <c r="CP144" s="287"/>
      <c r="CQ144" s="287"/>
      <c r="CR144" s="287"/>
      <c r="CS144" s="287"/>
      <c r="CT144" s="287"/>
      <c r="CU144" s="287"/>
      <c r="CV144" s="287"/>
      <c r="CW144" s="287"/>
      <c r="CX144" s="287"/>
      <c r="CY144" s="287"/>
      <c r="CZ144" s="287"/>
      <c r="DA144" s="287"/>
      <c r="DB144" s="287"/>
      <c r="DC144" s="287"/>
      <c r="DD144" s="287"/>
      <c r="DE144" s="287"/>
      <c r="DF144" s="287"/>
      <c r="DG144" s="287"/>
      <c r="DH144" s="287"/>
      <c r="DI144" s="287"/>
      <c r="DJ144" s="287"/>
      <c r="DK144" s="287"/>
      <c r="DL144" s="287"/>
      <c r="DM144" s="287"/>
      <c r="DN144" s="287"/>
      <c r="DO144" s="287"/>
      <c r="DP144" s="287"/>
    </row>
    <row r="145" spans="1:120" s="42" customFormat="1" ht="18" hidden="1" customHeight="1" x14ac:dyDescent="0.25">
      <c r="A145" s="13"/>
      <c r="B145" s="41"/>
      <c r="C145" s="129" t="s">
        <v>30</v>
      </c>
      <c r="D145" s="57"/>
      <c r="E145" s="142"/>
      <c r="F145" s="142"/>
      <c r="G145" s="142"/>
      <c r="H145" s="142"/>
      <c r="I145" s="142"/>
      <c r="J145" s="142"/>
      <c r="K145" s="142"/>
      <c r="L145" s="142"/>
      <c r="M145" s="142"/>
      <c r="N145" s="143" t="str">
        <f>IF(COUNT(E145:M145),SUM(E145:M145),"")</f>
        <v/>
      </c>
      <c r="P145" s="3"/>
      <c r="BA145" s="287"/>
      <c r="BB145" s="287"/>
      <c r="BC145" s="287"/>
      <c r="BD145" s="287"/>
      <c r="BE145" s="287"/>
      <c r="BF145" s="287"/>
      <c r="BG145" s="287"/>
      <c r="BH145" s="287"/>
      <c r="BI145" s="287"/>
      <c r="BJ145" s="287"/>
      <c r="BK145" s="287"/>
      <c r="BL145" s="287"/>
      <c r="BM145" s="287"/>
      <c r="BN145" s="287"/>
      <c r="BO145" s="287"/>
      <c r="BP145" s="287"/>
      <c r="BQ145" s="287"/>
      <c r="BR145" s="287"/>
      <c r="BS145" s="287"/>
      <c r="BT145" s="287"/>
      <c r="BU145" s="287"/>
      <c r="BV145" s="287"/>
      <c r="BW145" s="287"/>
      <c r="BX145" s="287"/>
      <c r="BY145" s="287"/>
      <c r="BZ145" s="287"/>
      <c r="CA145" s="287"/>
      <c r="CB145" s="287"/>
      <c r="CC145" s="287"/>
      <c r="CD145" s="287"/>
      <c r="CE145" s="287"/>
      <c r="CF145" s="287"/>
      <c r="CG145" s="287"/>
      <c r="CH145" s="287"/>
      <c r="CI145" s="287"/>
      <c r="CJ145" s="287"/>
      <c r="CK145" s="287"/>
      <c r="CL145" s="287"/>
      <c r="CM145" s="287"/>
      <c r="CN145" s="287"/>
      <c r="CO145" s="287"/>
      <c r="CP145" s="287"/>
      <c r="CQ145" s="287"/>
      <c r="CR145" s="287"/>
      <c r="CS145" s="287"/>
      <c r="CT145" s="287"/>
      <c r="CU145" s="287"/>
      <c r="CV145" s="287"/>
      <c r="CW145" s="287"/>
      <c r="CX145" s="287"/>
      <c r="CY145" s="287"/>
      <c r="CZ145" s="287"/>
      <c r="DA145" s="287"/>
      <c r="DB145" s="287"/>
      <c r="DC145" s="287"/>
      <c r="DD145" s="287"/>
      <c r="DE145" s="287"/>
      <c r="DF145" s="287"/>
      <c r="DG145" s="287"/>
      <c r="DH145" s="287"/>
      <c r="DI145" s="287"/>
      <c r="DJ145" s="287"/>
      <c r="DK145" s="287"/>
      <c r="DL145" s="287"/>
      <c r="DM145" s="287"/>
      <c r="DN145" s="287"/>
      <c r="DO145" s="287"/>
      <c r="DP145" s="287"/>
    </row>
    <row r="146" spans="1:120" s="42" customFormat="1" ht="18" hidden="1" customHeight="1" x14ac:dyDescent="0.25">
      <c r="A146" s="13"/>
      <c r="B146" s="77"/>
      <c r="C146" s="136" t="s">
        <v>31</v>
      </c>
      <c r="D146" s="78"/>
      <c r="E146" s="140"/>
      <c r="F146" s="140"/>
      <c r="G146" s="140"/>
      <c r="H146" s="140"/>
      <c r="I146" s="140"/>
      <c r="J146" s="140"/>
      <c r="K146" s="140"/>
      <c r="L146" s="140"/>
      <c r="M146" s="140"/>
      <c r="N146" s="141" t="str">
        <f>IF(COUNT(E146:M146),SUM(E146:M146),"")</f>
        <v/>
      </c>
      <c r="P146" s="3"/>
      <c r="BA146" s="287"/>
      <c r="BB146" s="287"/>
      <c r="BC146" s="287"/>
      <c r="BD146" s="287"/>
      <c r="BE146" s="287"/>
      <c r="BF146" s="287"/>
      <c r="BG146" s="287"/>
      <c r="BH146" s="287"/>
      <c r="BI146" s="287"/>
      <c r="BJ146" s="287"/>
      <c r="BK146" s="287"/>
      <c r="BL146" s="287"/>
      <c r="BM146" s="287"/>
      <c r="BN146" s="287"/>
      <c r="BO146" s="287"/>
      <c r="BP146" s="287"/>
      <c r="BQ146" s="287"/>
      <c r="BR146" s="287"/>
      <c r="BS146" s="287"/>
      <c r="BT146" s="287"/>
      <c r="BU146" s="287"/>
      <c r="BV146" s="287"/>
      <c r="BW146" s="287"/>
      <c r="BX146" s="287"/>
      <c r="BY146" s="287"/>
      <c r="BZ146" s="287"/>
      <c r="CA146" s="287"/>
      <c r="CB146" s="287"/>
      <c r="CC146" s="287"/>
      <c r="CD146" s="287"/>
      <c r="CE146" s="287"/>
      <c r="CF146" s="287"/>
      <c r="CG146" s="287"/>
      <c r="CH146" s="287"/>
      <c r="CI146" s="287"/>
      <c r="CJ146" s="287"/>
      <c r="CK146" s="287"/>
      <c r="CL146" s="287"/>
      <c r="CM146" s="287"/>
      <c r="CN146" s="287"/>
      <c r="CO146" s="287"/>
      <c r="CP146" s="287"/>
      <c r="CQ146" s="287"/>
      <c r="CR146" s="287"/>
      <c r="CS146" s="287"/>
      <c r="CT146" s="287"/>
      <c r="CU146" s="287"/>
      <c r="CV146" s="287"/>
      <c r="CW146" s="287"/>
      <c r="CX146" s="287"/>
      <c r="CY146" s="287"/>
      <c r="CZ146" s="287"/>
      <c r="DA146" s="287"/>
      <c r="DB146" s="287"/>
      <c r="DC146" s="287"/>
      <c r="DD146" s="287"/>
      <c r="DE146" s="287"/>
      <c r="DF146" s="287"/>
      <c r="DG146" s="287"/>
      <c r="DH146" s="287"/>
      <c r="DI146" s="287"/>
      <c r="DJ146" s="287"/>
      <c r="DK146" s="287"/>
      <c r="DL146" s="287"/>
      <c r="DM146" s="287"/>
      <c r="DN146" s="287"/>
      <c r="DO146" s="287"/>
      <c r="DP146" s="287"/>
    </row>
    <row r="147" spans="1:120" s="42" customFormat="1" ht="18" hidden="1" customHeight="1" x14ac:dyDescent="0.25">
      <c r="A147" s="13"/>
      <c r="B147" s="41"/>
      <c r="C147" s="129" t="s">
        <v>32</v>
      </c>
      <c r="D147" s="57"/>
      <c r="E147" s="138"/>
      <c r="F147" s="138"/>
      <c r="G147" s="138"/>
      <c r="H147" s="138"/>
      <c r="I147" s="138"/>
      <c r="J147" s="138"/>
      <c r="K147" s="138"/>
      <c r="L147" s="138"/>
      <c r="M147" s="138"/>
      <c r="N147" s="139" t="str">
        <f>IF(COUNT(E147:M147),SUM(E147:M147),"")</f>
        <v/>
      </c>
      <c r="P147" s="3"/>
      <c r="BA147" s="287"/>
      <c r="BB147" s="287"/>
      <c r="BC147" s="287"/>
      <c r="BD147" s="287"/>
      <c r="BE147" s="287"/>
      <c r="BF147" s="287"/>
      <c r="BG147" s="287"/>
      <c r="BH147" s="287"/>
      <c r="BI147" s="287"/>
      <c r="BJ147" s="287"/>
      <c r="BK147" s="287"/>
      <c r="BL147" s="287"/>
      <c r="BM147" s="287"/>
      <c r="BN147" s="287"/>
      <c r="BO147" s="287"/>
      <c r="BP147" s="287"/>
      <c r="BQ147" s="287"/>
      <c r="BR147" s="287"/>
      <c r="BS147" s="287"/>
      <c r="BT147" s="287"/>
      <c r="BU147" s="287"/>
      <c r="BV147" s="287"/>
      <c r="BW147" s="287"/>
      <c r="BX147" s="287"/>
      <c r="BY147" s="287"/>
      <c r="BZ147" s="287"/>
      <c r="CA147" s="287"/>
      <c r="CB147" s="287"/>
      <c r="CC147" s="287"/>
      <c r="CD147" s="287"/>
      <c r="CE147" s="287"/>
      <c r="CF147" s="287"/>
      <c r="CG147" s="287"/>
      <c r="CH147" s="287"/>
      <c r="CI147" s="287"/>
      <c r="CJ147" s="287"/>
      <c r="CK147" s="287"/>
      <c r="CL147" s="287"/>
      <c r="CM147" s="287"/>
      <c r="CN147" s="287"/>
      <c r="CO147" s="287"/>
      <c r="CP147" s="287"/>
      <c r="CQ147" s="287"/>
      <c r="CR147" s="287"/>
      <c r="CS147" s="287"/>
      <c r="CT147" s="287"/>
      <c r="CU147" s="287"/>
      <c r="CV147" s="287"/>
      <c r="CW147" s="287"/>
      <c r="CX147" s="287"/>
      <c r="CY147" s="287"/>
      <c r="CZ147" s="287"/>
      <c r="DA147" s="287"/>
      <c r="DB147" s="287"/>
      <c r="DC147" s="287"/>
      <c r="DD147" s="287"/>
      <c r="DE147" s="287"/>
      <c r="DF147" s="287"/>
      <c r="DG147" s="287"/>
      <c r="DH147" s="287"/>
      <c r="DI147" s="287"/>
      <c r="DJ147" s="287"/>
      <c r="DK147" s="287"/>
      <c r="DL147" s="287"/>
      <c r="DM147" s="287"/>
      <c r="DN147" s="287"/>
      <c r="DO147" s="287"/>
      <c r="DP147" s="287"/>
    </row>
    <row r="148" spans="1:120" s="42" customFormat="1" ht="18" hidden="1" customHeight="1" x14ac:dyDescent="0.25">
      <c r="A148" s="13"/>
      <c r="B148" s="77"/>
      <c r="C148" s="136" t="s">
        <v>33</v>
      </c>
      <c r="D148" s="78"/>
      <c r="E148" s="140"/>
      <c r="F148" s="140"/>
      <c r="G148" s="140"/>
      <c r="H148" s="140"/>
      <c r="I148" s="140"/>
      <c r="J148" s="140"/>
      <c r="K148" s="140"/>
      <c r="L148" s="140"/>
      <c r="M148" s="140"/>
      <c r="N148" s="141" t="str">
        <f>IF(COUNT(E148:M148),SUM(E148:M148),"")</f>
        <v/>
      </c>
      <c r="P148" s="3"/>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c r="BV148" s="287"/>
      <c r="BW148" s="287"/>
      <c r="BX148" s="287"/>
      <c r="BY148" s="287"/>
      <c r="BZ148" s="287"/>
      <c r="CA148" s="287"/>
      <c r="CB148" s="287"/>
      <c r="CC148" s="287"/>
      <c r="CD148" s="287"/>
      <c r="CE148" s="287"/>
      <c r="CF148" s="287"/>
      <c r="CG148" s="287"/>
      <c r="CH148" s="287"/>
      <c r="CI148" s="287"/>
      <c r="CJ148" s="287"/>
      <c r="CK148" s="287"/>
      <c r="CL148" s="287"/>
      <c r="CM148" s="287"/>
      <c r="CN148" s="287"/>
      <c r="CO148" s="287"/>
      <c r="CP148" s="287"/>
      <c r="CQ148" s="287"/>
      <c r="CR148" s="287"/>
      <c r="CS148" s="287"/>
      <c r="CT148" s="287"/>
      <c r="CU148" s="287"/>
      <c r="CV148" s="287"/>
      <c r="CW148" s="287"/>
      <c r="CX148" s="287"/>
      <c r="CY148" s="287"/>
      <c r="CZ148" s="287"/>
      <c r="DA148" s="287"/>
      <c r="DB148" s="287"/>
      <c r="DC148" s="287"/>
      <c r="DD148" s="287"/>
      <c r="DE148" s="287"/>
      <c r="DF148" s="287"/>
      <c r="DG148" s="287"/>
      <c r="DH148" s="287"/>
      <c r="DI148" s="287"/>
      <c r="DJ148" s="287"/>
      <c r="DK148" s="287"/>
      <c r="DL148" s="287"/>
      <c r="DM148" s="287"/>
      <c r="DN148" s="287"/>
      <c r="DO148" s="287"/>
      <c r="DP148" s="287"/>
    </row>
    <row r="149" spans="1:120" s="42" customFormat="1" ht="18" hidden="1" customHeight="1" x14ac:dyDescent="0.25">
      <c r="A149" s="13"/>
      <c r="B149" s="582" t="s">
        <v>18</v>
      </c>
      <c r="C149" s="583"/>
      <c r="D149" s="584"/>
      <c r="E149" s="144" t="str">
        <f>IF(OR(E145="",E146="",E147="",E148=""),"",SUM(E145:E148))</f>
        <v/>
      </c>
      <c r="F149" s="144" t="str">
        <f t="shared" ref="F149:M149" si="19">IF(OR(F145="",F146="",F147="",F148=""),"",SUM(F145:F148))</f>
        <v/>
      </c>
      <c r="G149" s="144" t="str">
        <f t="shared" si="19"/>
        <v/>
      </c>
      <c r="H149" s="144" t="str">
        <f t="shared" si="19"/>
        <v/>
      </c>
      <c r="I149" s="144" t="str">
        <f t="shared" si="19"/>
        <v/>
      </c>
      <c r="J149" s="144" t="str">
        <f t="shared" si="19"/>
        <v/>
      </c>
      <c r="K149" s="144" t="str">
        <f t="shared" si="19"/>
        <v/>
      </c>
      <c r="L149" s="144" t="str">
        <f t="shared" si="19"/>
        <v/>
      </c>
      <c r="M149" s="144" t="str">
        <f t="shared" si="19"/>
        <v/>
      </c>
      <c r="N149" s="30" t="str">
        <f>IF(COUNT(N145:N148),SUM(N145:N148),"")</f>
        <v/>
      </c>
      <c r="O149" s="603"/>
      <c r="P149" s="604"/>
      <c r="Q149" s="604"/>
      <c r="R149" s="604"/>
      <c r="S149" s="604"/>
      <c r="T149" s="604"/>
      <c r="U149" s="604"/>
      <c r="V149" s="604"/>
      <c r="W149" s="604"/>
      <c r="X149" s="604"/>
      <c r="Y149" s="604"/>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c r="BV149" s="287"/>
      <c r="BW149" s="287"/>
      <c r="BX149" s="287"/>
      <c r="BY149" s="287"/>
      <c r="BZ149" s="287"/>
      <c r="CA149" s="287"/>
      <c r="CB149" s="287"/>
      <c r="CC149" s="287"/>
      <c r="CD149" s="287"/>
      <c r="CE149" s="287"/>
      <c r="CF149" s="287"/>
      <c r="CG149" s="287"/>
      <c r="CH149" s="287"/>
      <c r="CI149" s="287"/>
      <c r="CJ149" s="287"/>
      <c r="CK149" s="287"/>
      <c r="CL149" s="287"/>
      <c r="CM149" s="287"/>
      <c r="CN149" s="287"/>
      <c r="CO149" s="287"/>
      <c r="CP149" s="287"/>
      <c r="CQ149" s="287"/>
      <c r="CR149" s="287"/>
      <c r="CS149" s="287"/>
      <c r="CT149" s="287"/>
      <c r="CU149" s="287"/>
      <c r="CV149" s="287"/>
      <c r="CW149" s="287"/>
      <c r="CX149" s="287"/>
      <c r="CY149" s="287"/>
      <c r="CZ149" s="287"/>
      <c r="DA149" s="287"/>
      <c r="DB149" s="287"/>
      <c r="DC149" s="287"/>
      <c r="DD149" s="287"/>
      <c r="DE149" s="287"/>
      <c r="DF149" s="287"/>
      <c r="DG149" s="287"/>
      <c r="DH149" s="287"/>
      <c r="DI149" s="287"/>
      <c r="DJ149" s="287"/>
      <c r="DK149" s="287"/>
      <c r="DL149" s="287"/>
      <c r="DM149" s="287"/>
      <c r="DN149" s="287"/>
      <c r="DO149" s="287"/>
      <c r="DP149" s="287"/>
    </row>
    <row r="150" spans="1:120" s="42" customFormat="1" ht="31.5" hidden="1" customHeight="1" x14ac:dyDescent="0.25">
      <c r="A150" s="13"/>
      <c r="B150" s="590" t="s">
        <v>35</v>
      </c>
      <c r="C150" s="591"/>
      <c r="D150" s="591"/>
      <c r="E150" s="137"/>
      <c r="F150" s="137"/>
      <c r="G150" s="137"/>
      <c r="H150" s="137"/>
      <c r="I150" s="137"/>
      <c r="J150" s="137"/>
      <c r="K150" s="137"/>
      <c r="L150" s="137"/>
      <c r="M150" s="137"/>
      <c r="N150" s="150"/>
      <c r="P150" s="3"/>
      <c r="BA150" s="287"/>
      <c r="BB150" s="287"/>
      <c r="BC150" s="287"/>
      <c r="BD150" s="287"/>
      <c r="BE150" s="287"/>
      <c r="BF150" s="287"/>
      <c r="BG150" s="287"/>
      <c r="BH150" s="287"/>
      <c r="BI150" s="287"/>
      <c r="BJ150" s="287"/>
      <c r="BK150" s="287"/>
      <c r="BL150" s="287"/>
      <c r="BM150" s="287"/>
      <c r="BN150" s="287"/>
      <c r="BO150" s="287"/>
      <c r="BP150" s="287"/>
      <c r="BQ150" s="287"/>
      <c r="BR150" s="287"/>
      <c r="BS150" s="287"/>
      <c r="BT150" s="287"/>
      <c r="BU150" s="287"/>
      <c r="BV150" s="287"/>
      <c r="BW150" s="287"/>
      <c r="BX150" s="287"/>
      <c r="BY150" s="287"/>
      <c r="BZ150" s="287"/>
      <c r="CA150" s="287"/>
      <c r="CB150" s="287"/>
      <c r="CC150" s="287"/>
      <c r="CD150" s="287"/>
      <c r="CE150" s="287"/>
      <c r="CF150" s="287"/>
      <c r="CG150" s="287"/>
      <c r="CH150" s="287"/>
      <c r="CI150" s="287"/>
      <c r="CJ150" s="287"/>
      <c r="CK150" s="287"/>
      <c r="CL150" s="287"/>
      <c r="CM150" s="287"/>
      <c r="CN150" s="287"/>
      <c r="CO150" s="287"/>
      <c r="CP150" s="287"/>
      <c r="CQ150" s="287"/>
      <c r="CR150" s="287"/>
      <c r="CS150" s="287"/>
      <c r="CT150" s="287"/>
      <c r="CU150" s="287"/>
      <c r="CV150" s="287"/>
      <c r="CW150" s="287"/>
      <c r="CX150" s="287"/>
      <c r="CY150" s="287"/>
      <c r="CZ150" s="287"/>
      <c r="DA150" s="287"/>
      <c r="DB150" s="287"/>
      <c r="DC150" s="287"/>
      <c r="DD150" s="287"/>
      <c r="DE150" s="287"/>
      <c r="DF150" s="287"/>
      <c r="DG150" s="287"/>
      <c r="DH150" s="287"/>
      <c r="DI150" s="287"/>
      <c r="DJ150" s="287"/>
      <c r="DK150" s="287"/>
      <c r="DL150" s="287"/>
      <c r="DM150" s="287"/>
      <c r="DN150" s="287"/>
      <c r="DO150" s="287"/>
      <c r="DP150" s="287"/>
    </row>
    <row r="151" spans="1:120" s="42" customFormat="1" ht="18" hidden="1" customHeight="1" x14ac:dyDescent="0.25">
      <c r="A151" s="13"/>
      <c r="B151" s="41"/>
      <c r="C151" s="129" t="s">
        <v>30</v>
      </c>
      <c r="D151" s="57"/>
      <c r="E151" s="142"/>
      <c r="F151" s="142"/>
      <c r="G151" s="142"/>
      <c r="H151" s="142"/>
      <c r="I151" s="142"/>
      <c r="J151" s="142"/>
      <c r="K151" s="142"/>
      <c r="L151" s="142"/>
      <c r="M151" s="142"/>
      <c r="N151" s="143" t="str">
        <f>IF(COUNT(E151:M151),SUM(E151:M151),"")</f>
        <v/>
      </c>
      <c r="P151" s="3"/>
      <c r="BA151" s="287"/>
      <c r="BB151" s="287"/>
      <c r="BC151" s="287"/>
      <c r="BD151" s="287"/>
      <c r="BE151" s="287"/>
      <c r="BF151" s="287"/>
      <c r="BG151" s="287"/>
      <c r="BH151" s="287"/>
      <c r="BI151" s="287"/>
      <c r="BJ151" s="287"/>
      <c r="BK151" s="287"/>
      <c r="BL151" s="287"/>
      <c r="BM151" s="287"/>
      <c r="BN151" s="287"/>
      <c r="BO151" s="287"/>
      <c r="BP151" s="287"/>
      <c r="BQ151" s="287"/>
      <c r="BR151" s="287"/>
      <c r="BS151" s="287"/>
      <c r="BT151" s="287"/>
      <c r="BU151" s="287"/>
      <c r="BV151" s="287"/>
      <c r="BW151" s="287"/>
      <c r="BX151" s="287"/>
      <c r="BY151" s="287"/>
      <c r="BZ151" s="287"/>
      <c r="CA151" s="287"/>
      <c r="CB151" s="287"/>
      <c r="CC151" s="287"/>
      <c r="CD151" s="287"/>
      <c r="CE151" s="287"/>
      <c r="CF151" s="287"/>
      <c r="CG151" s="287"/>
      <c r="CH151" s="287"/>
      <c r="CI151" s="287"/>
      <c r="CJ151" s="287"/>
      <c r="CK151" s="287"/>
      <c r="CL151" s="287"/>
      <c r="CM151" s="287"/>
      <c r="CN151" s="287"/>
      <c r="CO151" s="287"/>
      <c r="CP151" s="287"/>
      <c r="CQ151" s="287"/>
      <c r="CR151" s="287"/>
      <c r="CS151" s="287"/>
      <c r="CT151" s="287"/>
      <c r="CU151" s="287"/>
      <c r="CV151" s="287"/>
      <c r="CW151" s="287"/>
      <c r="CX151" s="287"/>
      <c r="CY151" s="287"/>
      <c r="CZ151" s="287"/>
      <c r="DA151" s="287"/>
      <c r="DB151" s="287"/>
      <c r="DC151" s="287"/>
      <c r="DD151" s="287"/>
      <c r="DE151" s="287"/>
      <c r="DF151" s="287"/>
      <c r="DG151" s="287"/>
      <c r="DH151" s="287"/>
      <c r="DI151" s="287"/>
      <c r="DJ151" s="287"/>
      <c r="DK151" s="287"/>
      <c r="DL151" s="287"/>
      <c r="DM151" s="287"/>
      <c r="DN151" s="287"/>
      <c r="DO151" s="287"/>
      <c r="DP151" s="287"/>
    </row>
    <row r="152" spans="1:120" s="42" customFormat="1" ht="18" hidden="1" customHeight="1" x14ac:dyDescent="0.25">
      <c r="A152" s="13"/>
      <c r="B152" s="77"/>
      <c r="C152" s="136" t="s">
        <v>31</v>
      </c>
      <c r="D152" s="78"/>
      <c r="E152" s="140"/>
      <c r="F152" s="140"/>
      <c r="G152" s="140"/>
      <c r="H152" s="140"/>
      <c r="I152" s="140"/>
      <c r="J152" s="140"/>
      <c r="K152" s="140"/>
      <c r="L152" s="140"/>
      <c r="M152" s="140"/>
      <c r="N152" s="141" t="str">
        <f>IF(COUNT(E152:M152),SUM(E152:M152),"")</f>
        <v/>
      </c>
      <c r="P152" s="3"/>
      <c r="BA152" s="287"/>
      <c r="BB152" s="287"/>
      <c r="BC152" s="287"/>
      <c r="BD152" s="287"/>
      <c r="BE152" s="287"/>
      <c r="BF152" s="287"/>
      <c r="BG152" s="287"/>
      <c r="BH152" s="287"/>
      <c r="BI152" s="287"/>
      <c r="BJ152" s="287"/>
      <c r="BK152" s="287"/>
      <c r="BL152" s="287"/>
      <c r="BM152" s="287"/>
      <c r="BN152" s="287"/>
      <c r="BO152" s="287"/>
      <c r="BP152" s="287"/>
      <c r="BQ152" s="287"/>
      <c r="BR152" s="287"/>
      <c r="BS152" s="287"/>
      <c r="BT152" s="287"/>
      <c r="BU152" s="287"/>
      <c r="BV152" s="287"/>
      <c r="BW152" s="287"/>
      <c r="BX152" s="287"/>
      <c r="BY152" s="287"/>
      <c r="BZ152" s="287"/>
      <c r="CA152" s="287"/>
      <c r="CB152" s="287"/>
      <c r="CC152" s="287"/>
      <c r="CD152" s="287"/>
      <c r="CE152" s="287"/>
      <c r="CF152" s="287"/>
      <c r="CG152" s="287"/>
      <c r="CH152" s="287"/>
      <c r="CI152" s="287"/>
      <c r="CJ152" s="287"/>
      <c r="CK152" s="287"/>
      <c r="CL152" s="287"/>
      <c r="CM152" s="287"/>
      <c r="CN152" s="287"/>
      <c r="CO152" s="287"/>
      <c r="CP152" s="287"/>
      <c r="CQ152" s="287"/>
      <c r="CR152" s="287"/>
      <c r="CS152" s="287"/>
      <c r="CT152" s="287"/>
      <c r="CU152" s="287"/>
      <c r="CV152" s="287"/>
      <c r="CW152" s="287"/>
      <c r="CX152" s="287"/>
      <c r="CY152" s="287"/>
      <c r="CZ152" s="287"/>
      <c r="DA152" s="287"/>
      <c r="DB152" s="287"/>
      <c r="DC152" s="287"/>
      <c r="DD152" s="287"/>
      <c r="DE152" s="287"/>
      <c r="DF152" s="287"/>
      <c r="DG152" s="287"/>
      <c r="DH152" s="287"/>
      <c r="DI152" s="287"/>
      <c r="DJ152" s="287"/>
      <c r="DK152" s="287"/>
      <c r="DL152" s="287"/>
      <c r="DM152" s="287"/>
      <c r="DN152" s="287"/>
      <c r="DO152" s="287"/>
      <c r="DP152" s="287"/>
    </row>
    <row r="153" spans="1:120" s="42" customFormat="1" ht="18" hidden="1" customHeight="1" x14ac:dyDescent="0.25">
      <c r="A153" s="13"/>
      <c r="B153" s="41"/>
      <c r="C153" s="129" t="s">
        <v>32</v>
      </c>
      <c r="D153" s="57"/>
      <c r="E153" s="138"/>
      <c r="F153" s="138"/>
      <c r="G153" s="138"/>
      <c r="H153" s="138"/>
      <c r="I153" s="138"/>
      <c r="J153" s="138"/>
      <c r="K153" s="138"/>
      <c r="L153" s="138"/>
      <c r="M153" s="138"/>
      <c r="N153" s="139" t="str">
        <f>IF(COUNT(E153:M153),SUM(E153:M153),"")</f>
        <v/>
      </c>
      <c r="P153" s="3"/>
      <c r="BA153" s="287"/>
      <c r="BB153" s="287"/>
      <c r="BC153" s="287"/>
      <c r="BD153" s="287"/>
      <c r="BE153" s="287"/>
      <c r="BF153" s="287"/>
      <c r="BG153" s="287"/>
      <c r="BH153" s="287"/>
      <c r="BI153" s="287"/>
      <c r="BJ153" s="287"/>
      <c r="BK153" s="287"/>
      <c r="BL153" s="287"/>
      <c r="BM153" s="287"/>
      <c r="BN153" s="287"/>
      <c r="BO153" s="287"/>
      <c r="BP153" s="287"/>
      <c r="BQ153" s="287"/>
      <c r="BR153" s="287"/>
      <c r="BS153" s="287"/>
      <c r="BT153" s="287"/>
      <c r="BU153" s="287"/>
      <c r="BV153" s="287"/>
      <c r="BW153" s="287"/>
      <c r="BX153" s="287"/>
      <c r="BY153" s="287"/>
      <c r="BZ153" s="287"/>
      <c r="CA153" s="287"/>
      <c r="CB153" s="287"/>
      <c r="CC153" s="287"/>
      <c r="CD153" s="287"/>
      <c r="CE153" s="287"/>
      <c r="CF153" s="287"/>
      <c r="CG153" s="287"/>
      <c r="CH153" s="287"/>
      <c r="CI153" s="287"/>
      <c r="CJ153" s="287"/>
      <c r="CK153" s="287"/>
      <c r="CL153" s="287"/>
      <c r="CM153" s="287"/>
      <c r="CN153" s="287"/>
      <c r="CO153" s="287"/>
      <c r="CP153" s="287"/>
      <c r="CQ153" s="287"/>
      <c r="CR153" s="287"/>
      <c r="CS153" s="287"/>
      <c r="CT153" s="287"/>
      <c r="CU153" s="287"/>
      <c r="CV153" s="287"/>
      <c r="CW153" s="287"/>
      <c r="CX153" s="287"/>
      <c r="CY153" s="287"/>
      <c r="CZ153" s="287"/>
      <c r="DA153" s="287"/>
      <c r="DB153" s="287"/>
      <c r="DC153" s="287"/>
      <c r="DD153" s="287"/>
      <c r="DE153" s="287"/>
      <c r="DF153" s="287"/>
      <c r="DG153" s="287"/>
      <c r="DH153" s="287"/>
      <c r="DI153" s="287"/>
      <c r="DJ153" s="287"/>
      <c r="DK153" s="287"/>
      <c r="DL153" s="287"/>
      <c r="DM153" s="287"/>
      <c r="DN153" s="287"/>
      <c r="DO153" s="287"/>
      <c r="DP153" s="287"/>
    </row>
    <row r="154" spans="1:120" s="42" customFormat="1" ht="18" hidden="1" customHeight="1" x14ac:dyDescent="0.25">
      <c r="A154" s="13"/>
      <c r="B154" s="77"/>
      <c r="C154" s="136" t="s">
        <v>33</v>
      </c>
      <c r="D154" s="78"/>
      <c r="E154" s="140"/>
      <c r="F154" s="140"/>
      <c r="G154" s="140"/>
      <c r="H154" s="140"/>
      <c r="I154" s="140"/>
      <c r="J154" s="140"/>
      <c r="K154" s="140"/>
      <c r="L154" s="140"/>
      <c r="M154" s="140"/>
      <c r="N154" s="141" t="str">
        <f>IF(COUNT(E154:M154),SUM(E154:M154),"")</f>
        <v/>
      </c>
      <c r="P154" s="3"/>
      <c r="BA154" s="287"/>
      <c r="BB154" s="287"/>
      <c r="BC154" s="287"/>
      <c r="BD154" s="287"/>
      <c r="BE154" s="287"/>
      <c r="BF154" s="287"/>
      <c r="BG154" s="287"/>
      <c r="BH154" s="287"/>
      <c r="BI154" s="287"/>
      <c r="BJ154" s="287"/>
      <c r="BK154" s="287"/>
      <c r="BL154" s="287"/>
      <c r="BM154" s="287"/>
      <c r="BN154" s="287"/>
      <c r="BO154" s="287"/>
      <c r="BP154" s="287"/>
      <c r="BQ154" s="287"/>
      <c r="BR154" s="287"/>
      <c r="BS154" s="287"/>
      <c r="BT154" s="287"/>
      <c r="BU154" s="287"/>
      <c r="BV154" s="287"/>
      <c r="BW154" s="287"/>
      <c r="BX154" s="287"/>
      <c r="BY154" s="287"/>
      <c r="BZ154" s="287"/>
      <c r="CA154" s="287"/>
      <c r="CB154" s="287"/>
      <c r="CC154" s="287"/>
      <c r="CD154" s="287"/>
      <c r="CE154" s="287"/>
      <c r="CF154" s="287"/>
      <c r="CG154" s="287"/>
      <c r="CH154" s="287"/>
      <c r="CI154" s="287"/>
      <c r="CJ154" s="287"/>
      <c r="CK154" s="287"/>
      <c r="CL154" s="287"/>
      <c r="CM154" s="287"/>
      <c r="CN154" s="287"/>
      <c r="CO154" s="287"/>
      <c r="CP154" s="287"/>
      <c r="CQ154" s="287"/>
      <c r="CR154" s="287"/>
      <c r="CS154" s="287"/>
      <c r="CT154" s="287"/>
      <c r="CU154" s="287"/>
      <c r="CV154" s="287"/>
      <c r="CW154" s="287"/>
      <c r="CX154" s="287"/>
      <c r="CY154" s="287"/>
      <c r="CZ154" s="287"/>
      <c r="DA154" s="287"/>
      <c r="DB154" s="287"/>
      <c r="DC154" s="287"/>
      <c r="DD154" s="287"/>
      <c r="DE154" s="287"/>
      <c r="DF154" s="287"/>
      <c r="DG154" s="287"/>
      <c r="DH154" s="287"/>
      <c r="DI154" s="287"/>
      <c r="DJ154" s="287"/>
      <c r="DK154" s="287"/>
      <c r="DL154" s="287"/>
      <c r="DM154" s="287"/>
      <c r="DN154" s="287"/>
      <c r="DO154" s="287"/>
      <c r="DP154" s="287"/>
    </row>
    <row r="155" spans="1:120" s="42" customFormat="1" ht="18" hidden="1" customHeight="1" x14ac:dyDescent="0.25">
      <c r="A155" s="13"/>
      <c r="B155" s="582" t="s">
        <v>15</v>
      </c>
      <c r="C155" s="583"/>
      <c r="D155" s="584"/>
      <c r="E155" s="144" t="str">
        <f>IF(OR(E151="",E152="",E153="",E154=""),"",SUM(E151:E154))</f>
        <v/>
      </c>
      <c r="F155" s="144" t="str">
        <f t="shared" ref="F155:M155" si="20">IF(OR(F151="",F152="",F153="",F154=""),"",SUM(F151:F154))</f>
        <v/>
      </c>
      <c r="G155" s="144" t="str">
        <f t="shared" si="20"/>
        <v/>
      </c>
      <c r="H155" s="144" t="str">
        <f t="shared" si="20"/>
        <v/>
      </c>
      <c r="I155" s="144" t="str">
        <f t="shared" si="20"/>
        <v/>
      </c>
      <c r="J155" s="144" t="str">
        <f t="shared" si="20"/>
        <v/>
      </c>
      <c r="K155" s="144" t="str">
        <f t="shared" si="20"/>
        <v/>
      </c>
      <c r="L155" s="144" t="str">
        <f t="shared" si="20"/>
        <v/>
      </c>
      <c r="M155" s="144" t="str">
        <f t="shared" si="20"/>
        <v/>
      </c>
      <c r="N155" s="45" t="str">
        <f>IF(COUNT(N151:N154),SUM(N151:N154),"")</f>
        <v/>
      </c>
      <c r="O155" s="603"/>
      <c r="P155" s="604"/>
      <c r="Q155" s="604"/>
      <c r="R155" s="604"/>
      <c r="S155" s="604"/>
      <c r="T155" s="604"/>
      <c r="U155" s="604"/>
      <c r="V155" s="604"/>
      <c r="W155" s="604"/>
      <c r="X155" s="604"/>
      <c r="Y155" s="604"/>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c r="BV155" s="287"/>
      <c r="BW155" s="287"/>
      <c r="BX155" s="287"/>
      <c r="BY155" s="287"/>
      <c r="BZ155" s="287"/>
      <c r="CA155" s="287"/>
      <c r="CB155" s="287"/>
      <c r="CC155" s="287"/>
      <c r="CD155" s="287"/>
      <c r="CE155" s="287"/>
      <c r="CF155" s="287"/>
      <c r="CG155" s="287"/>
      <c r="CH155" s="287"/>
      <c r="CI155" s="287"/>
      <c r="CJ155" s="287"/>
      <c r="CK155" s="287"/>
      <c r="CL155" s="287"/>
      <c r="CM155" s="287"/>
      <c r="CN155" s="287"/>
      <c r="CO155" s="287"/>
      <c r="CP155" s="287"/>
      <c r="CQ155" s="287"/>
      <c r="CR155" s="287"/>
      <c r="CS155" s="287"/>
      <c r="CT155" s="287"/>
      <c r="CU155" s="287"/>
      <c r="CV155" s="287"/>
      <c r="CW155" s="287"/>
      <c r="CX155" s="287"/>
      <c r="CY155" s="287"/>
      <c r="CZ155" s="287"/>
      <c r="DA155" s="287"/>
      <c r="DB155" s="287"/>
      <c r="DC155" s="287"/>
      <c r="DD155" s="287"/>
      <c r="DE155" s="287"/>
      <c r="DF155" s="287"/>
      <c r="DG155" s="287"/>
      <c r="DH155" s="287"/>
      <c r="DI155" s="287"/>
      <c r="DJ155" s="287"/>
      <c r="DK155" s="287"/>
      <c r="DL155" s="287"/>
      <c r="DM155" s="287"/>
      <c r="DN155" s="287"/>
      <c r="DO155" s="287"/>
      <c r="DP155" s="287"/>
    </row>
    <row r="156" spans="1:120" s="23" customFormat="1" ht="45.75" hidden="1" customHeight="1" x14ac:dyDescent="0.25">
      <c r="A156" s="13"/>
      <c r="B156" s="730"/>
      <c r="C156" s="731"/>
      <c r="D156" s="732"/>
      <c r="E156" s="187" t="str">
        <f t="shared" ref="E156:M156" si="21">IF(OR(E133="",E134=""),"",E134/E133)</f>
        <v/>
      </c>
      <c r="F156" s="187" t="str">
        <f t="shared" si="21"/>
        <v/>
      </c>
      <c r="G156" s="187" t="str">
        <f t="shared" si="21"/>
        <v/>
      </c>
      <c r="H156" s="187" t="str">
        <f t="shared" si="21"/>
        <v/>
      </c>
      <c r="I156" s="187" t="str">
        <f t="shared" si="21"/>
        <v/>
      </c>
      <c r="J156" s="187" t="str">
        <f t="shared" si="21"/>
        <v/>
      </c>
      <c r="K156" s="187" t="str">
        <f t="shared" si="21"/>
        <v/>
      </c>
      <c r="L156" s="187" t="str">
        <f t="shared" si="21"/>
        <v/>
      </c>
      <c r="M156" s="187" t="str">
        <f t="shared" si="21"/>
        <v/>
      </c>
      <c r="N156" s="456">
        <f>IFERROR(AVERAGE(E156:M156),0)</f>
        <v>0</v>
      </c>
      <c r="O156" s="228" t="str">
        <f>IF(P156=1, "&lt;===", "")</f>
        <v/>
      </c>
      <c r="P156" s="364"/>
      <c r="Q156" s="199"/>
      <c r="R156" s="199"/>
      <c r="S156" s="199"/>
      <c r="T156" s="199"/>
      <c r="U156" s="199"/>
      <c r="V156" s="199"/>
      <c r="W156" s="199"/>
      <c r="X156" s="199"/>
      <c r="Y156" s="42"/>
      <c r="Z156" s="42"/>
      <c r="BA156" s="287"/>
      <c r="BB156" s="287"/>
      <c r="BC156" s="287"/>
      <c r="BD156" s="287"/>
      <c r="BE156" s="287"/>
      <c r="BF156" s="287"/>
      <c r="BG156" s="287"/>
      <c r="BH156" s="287"/>
      <c r="BI156" s="287"/>
      <c r="BJ156" s="287"/>
      <c r="BK156" s="287"/>
      <c r="BL156" s="287"/>
      <c r="BM156" s="287"/>
      <c r="BN156" s="287"/>
      <c r="BO156" s="287"/>
      <c r="BP156" s="287"/>
      <c r="BQ156" s="287"/>
      <c r="BR156" s="287"/>
      <c r="BS156" s="287"/>
      <c r="BT156" s="287"/>
      <c r="BU156" s="287"/>
      <c r="BV156" s="287"/>
      <c r="BW156" s="287"/>
      <c r="BX156" s="287"/>
      <c r="BY156" s="287"/>
      <c r="BZ156" s="287"/>
      <c r="CA156" s="287"/>
      <c r="CB156" s="287"/>
      <c r="CC156" s="287"/>
      <c r="CD156" s="287"/>
      <c r="CE156" s="287"/>
      <c r="CF156" s="287"/>
      <c r="CG156" s="287"/>
      <c r="CH156" s="287"/>
      <c r="CI156" s="287"/>
      <c r="CJ156" s="287"/>
      <c r="CK156" s="287"/>
      <c r="CL156" s="287"/>
      <c r="CM156" s="287"/>
      <c r="CN156" s="287"/>
      <c r="CO156" s="287"/>
      <c r="CP156" s="287"/>
      <c r="CQ156" s="287"/>
      <c r="CR156" s="287"/>
      <c r="CS156" s="287"/>
      <c r="CT156" s="287"/>
      <c r="CU156" s="287"/>
      <c r="CV156" s="287"/>
      <c r="CW156" s="287"/>
      <c r="CX156" s="287"/>
      <c r="CY156" s="287"/>
      <c r="CZ156" s="287"/>
      <c r="DA156" s="287"/>
      <c r="DB156" s="287"/>
      <c r="DC156" s="287"/>
      <c r="DD156" s="287"/>
      <c r="DE156" s="287"/>
      <c r="DF156" s="287"/>
      <c r="DG156" s="287"/>
      <c r="DH156" s="287"/>
      <c r="DI156" s="287"/>
      <c r="DJ156" s="287"/>
      <c r="DK156" s="287"/>
      <c r="DL156" s="287"/>
      <c r="DM156" s="287"/>
      <c r="DN156" s="287"/>
      <c r="DO156" s="287"/>
      <c r="DP156" s="287"/>
    </row>
    <row r="157" spans="1:120" s="23" customFormat="1" ht="58.5" customHeight="1" x14ac:dyDescent="0.45">
      <c r="A157" s="13"/>
      <c r="B157" s="589" t="str">
        <f>IF(AND(E131&lt;&gt;"",B158=""),"Completion of the analysis and action plan boxes above are required.","")</f>
        <v/>
      </c>
      <c r="C157" s="589"/>
      <c r="D157" s="589"/>
      <c r="E157" s="589"/>
      <c r="F157" s="589"/>
      <c r="G157" s="589"/>
      <c r="H157" s="589"/>
      <c r="I157" s="589"/>
      <c r="J157" s="589"/>
      <c r="K157" s="589"/>
      <c r="L157" s="589"/>
      <c r="M157" s="589"/>
      <c r="N157" s="589"/>
      <c r="O157" s="337"/>
      <c r="P157" s="408"/>
      <c r="Q157" s="356"/>
      <c r="R157" s="356"/>
      <c r="S157" s="356"/>
      <c r="T157" s="356"/>
      <c r="U157" s="356"/>
      <c r="V157" s="356"/>
      <c r="W157" s="356"/>
      <c r="X157" s="356"/>
      <c r="Y157" s="42"/>
      <c r="Z157" s="42"/>
      <c r="BA157" s="287"/>
      <c r="BB157" s="287"/>
      <c r="BC157" s="287"/>
      <c r="BD157" s="287"/>
      <c r="BE157" s="287"/>
      <c r="BF157" s="287"/>
      <c r="BG157" s="287"/>
      <c r="BH157" s="287"/>
      <c r="BI157" s="287"/>
      <c r="BJ157" s="287"/>
      <c r="BK157" s="287"/>
      <c r="BL157" s="287"/>
      <c r="BM157" s="287"/>
      <c r="BN157" s="287"/>
      <c r="BO157" s="287"/>
      <c r="BP157" s="287"/>
      <c r="BQ157" s="287"/>
      <c r="BR157" s="287"/>
      <c r="BS157" s="287"/>
      <c r="BT157" s="287"/>
      <c r="BU157" s="287"/>
      <c r="BV157" s="287"/>
      <c r="BW157" s="287"/>
      <c r="BX157" s="287"/>
      <c r="BY157" s="287"/>
      <c r="BZ157" s="287"/>
      <c r="CA157" s="287"/>
      <c r="CB157" s="287"/>
      <c r="CC157" s="287"/>
      <c r="CD157" s="287"/>
      <c r="CE157" s="287"/>
      <c r="CF157" s="287"/>
      <c r="CG157" s="287"/>
      <c r="CH157" s="287"/>
      <c r="CI157" s="287"/>
      <c r="CJ157" s="287"/>
      <c r="CK157" s="287"/>
      <c r="CL157" s="287"/>
      <c r="CM157" s="287"/>
      <c r="CN157" s="287"/>
      <c r="CO157" s="287"/>
      <c r="CP157" s="287"/>
      <c r="CQ157" s="287"/>
      <c r="CR157" s="287"/>
      <c r="CS157" s="287"/>
      <c r="CT157" s="287"/>
      <c r="CU157" s="287"/>
      <c r="CV157" s="287"/>
      <c r="CW157" s="287"/>
      <c r="CX157" s="287"/>
      <c r="CY157" s="287"/>
      <c r="CZ157" s="287"/>
      <c r="DA157" s="287"/>
      <c r="DB157" s="287"/>
      <c r="DC157" s="287"/>
      <c r="DD157" s="287"/>
      <c r="DE157" s="287"/>
      <c r="DF157" s="287"/>
      <c r="DG157" s="287"/>
      <c r="DH157" s="287"/>
      <c r="DI157" s="287"/>
      <c r="DJ157" s="287"/>
      <c r="DK157" s="287"/>
      <c r="DL157" s="287"/>
      <c r="DM157" s="287"/>
      <c r="DN157" s="287"/>
      <c r="DO157" s="287"/>
      <c r="DP157" s="287"/>
    </row>
    <row r="158" spans="1:120" s="42" customFormat="1" ht="51.75" customHeight="1" x14ac:dyDescent="0.25">
      <c r="A158" s="13"/>
      <c r="B158" s="756" t="str">
        <f>IF(AND(E131&lt;E132,E131&lt;&gt;""),"Error has occurred; The total number of surveys sent cannot be more than the total number of graduates in the reporting year.",IF(AND(E132&lt;E133,E131&lt;&gt;""),"Error has occurred; The total number of surveys returned cannot be more than the total number of surveys sent.",IF(OR(AND(E131&lt;&gt;"",E132="", D432&lt;&gt;""),AND(E131&lt;&gt;"",E133="",D432&lt;&gt;"")),"Please Note: An empty or blank cell is not the same a zero.","")))</f>
        <v/>
      </c>
      <c r="C158" s="756"/>
      <c r="D158" s="756"/>
      <c r="E158" s="756"/>
      <c r="F158" s="756"/>
      <c r="G158" s="756"/>
      <c r="H158" s="756"/>
      <c r="I158" s="756"/>
      <c r="J158" s="756"/>
      <c r="K158" s="756"/>
      <c r="L158" s="756"/>
      <c r="M158" s="756"/>
      <c r="N158" s="756"/>
      <c r="P158" s="409"/>
      <c r="Q158" s="293"/>
      <c r="R158" s="293"/>
      <c r="S158" s="293"/>
      <c r="T158" s="293"/>
      <c r="U158" s="293"/>
      <c r="V158" s="293"/>
      <c r="W158" s="293"/>
      <c r="X158" s="293"/>
      <c r="BA158" s="287"/>
      <c r="BB158" s="287"/>
      <c r="BC158" s="287"/>
      <c r="BD158" s="287"/>
      <c r="BE158" s="287"/>
      <c r="BF158" s="287"/>
      <c r="BG158" s="287"/>
      <c r="BH158" s="287"/>
      <c r="BI158" s="287"/>
      <c r="BJ158" s="287"/>
      <c r="BK158" s="287"/>
      <c r="BL158" s="287"/>
      <c r="BM158" s="287"/>
      <c r="BN158" s="287"/>
      <c r="BO158" s="287"/>
      <c r="BP158" s="287"/>
      <c r="BQ158" s="287"/>
      <c r="BR158" s="287"/>
      <c r="BS158" s="287"/>
      <c r="BT158" s="287"/>
      <c r="BU158" s="287"/>
      <c r="BV158" s="287"/>
      <c r="BW158" s="287"/>
      <c r="BX158" s="287"/>
      <c r="BY158" s="287"/>
      <c r="BZ158" s="287"/>
      <c r="CA158" s="287"/>
      <c r="CB158" s="287"/>
      <c r="CC158" s="287"/>
      <c r="CD158" s="287"/>
      <c r="CE158" s="287"/>
      <c r="CF158" s="287"/>
      <c r="CG158" s="287"/>
      <c r="CH158" s="287"/>
      <c r="CI158" s="287"/>
      <c r="CJ158" s="287"/>
      <c r="CK158" s="287"/>
      <c r="CL158" s="287"/>
      <c r="CM158" s="287"/>
      <c r="CN158" s="287"/>
      <c r="CO158" s="287"/>
      <c r="CP158" s="287"/>
      <c r="CQ158" s="287"/>
      <c r="CR158" s="287"/>
      <c r="CS158" s="287"/>
      <c r="CT158" s="287"/>
      <c r="CU158" s="287"/>
      <c r="CV158" s="287"/>
      <c r="CW158" s="287"/>
      <c r="CX158" s="287"/>
      <c r="CY158" s="287"/>
      <c r="CZ158" s="287"/>
      <c r="DA158" s="287"/>
      <c r="DB158" s="287"/>
      <c r="DC158" s="287"/>
      <c r="DD158" s="287"/>
      <c r="DE158" s="287"/>
      <c r="DF158" s="287"/>
      <c r="DG158" s="287"/>
      <c r="DH158" s="287"/>
      <c r="DI158" s="287"/>
      <c r="DJ158" s="287"/>
      <c r="DK158" s="287"/>
      <c r="DL158" s="287"/>
      <c r="DM158" s="287"/>
      <c r="DN158" s="287"/>
      <c r="DO158" s="287"/>
      <c r="DP158" s="287"/>
    </row>
    <row r="159" spans="1:120" s="23" customFormat="1" x14ac:dyDescent="0.25">
      <c r="A159" s="205"/>
      <c r="P159" s="3"/>
      <c r="Q159" s="42"/>
      <c r="R159" s="42"/>
      <c r="S159" s="42"/>
      <c r="T159" s="42"/>
      <c r="U159" s="42"/>
      <c r="V159" s="42"/>
      <c r="W159" s="42"/>
      <c r="X159" s="42"/>
      <c r="Y159" s="42"/>
      <c r="Z159" s="42"/>
      <c r="BA159" s="287"/>
      <c r="BB159" s="287"/>
      <c r="BC159" s="287"/>
      <c r="BD159" s="287"/>
      <c r="BE159" s="287"/>
      <c r="BF159" s="287"/>
      <c r="BG159" s="287"/>
      <c r="BH159" s="287"/>
      <c r="BI159" s="287"/>
      <c r="BJ159" s="287"/>
      <c r="BK159" s="287"/>
      <c r="BL159" s="287"/>
      <c r="BM159" s="287"/>
      <c r="BN159" s="287"/>
      <c r="BO159" s="287"/>
      <c r="BP159" s="287"/>
      <c r="BQ159" s="287"/>
      <c r="BR159" s="287"/>
      <c r="BS159" s="287"/>
      <c r="BT159" s="287"/>
      <c r="BU159" s="287"/>
      <c r="BV159" s="287"/>
      <c r="BW159" s="287"/>
      <c r="BX159" s="287"/>
      <c r="BY159" s="287"/>
      <c r="BZ159" s="287"/>
      <c r="CA159" s="287"/>
      <c r="CB159" s="287"/>
      <c r="CC159" s="287"/>
      <c r="CD159" s="287"/>
      <c r="CE159" s="287"/>
      <c r="CF159" s="287"/>
      <c r="CG159" s="287"/>
      <c r="CH159" s="287"/>
      <c r="CI159" s="287"/>
      <c r="CJ159" s="287"/>
      <c r="CK159" s="287"/>
      <c r="CL159" s="287"/>
      <c r="CM159" s="287"/>
      <c r="CN159" s="287"/>
      <c r="CO159" s="287"/>
      <c r="CP159" s="287"/>
      <c r="CQ159" s="287"/>
      <c r="CR159" s="287"/>
      <c r="CS159" s="287"/>
      <c r="CT159" s="287"/>
      <c r="CU159" s="287"/>
      <c r="CV159" s="287"/>
      <c r="CW159" s="287"/>
      <c r="CX159" s="287"/>
      <c r="CY159" s="287"/>
      <c r="CZ159" s="287"/>
      <c r="DA159" s="287"/>
      <c r="DB159" s="287"/>
      <c r="DC159" s="287"/>
      <c r="DD159" s="287"/>
      <c r="DE159" s="287"/>
      <c r="DF159" s="287"/>
      <c r="DG159" s="287"/>
      <c r="DH159" s="287"/>
      <c r="DI159" s="287"/>
      <c r="DJ159" s="287"/>
      <c r="DK159" s="287"/>
      <c r="DL159" s="287"/>
      <c r="DM159" s="287"/>
      <c r="DN159" s="287"/>
      <c r="DO159" s="287"/>
      <c r="DP159" s="287"/>
    </row>
    <row r="160" spans="1:120" s="23" customFormat="1" ht="79.5" customHeight="1" x14ac:dyDescent="0.25">
      <c r="A160" s="205"/>
      <c r="B160" s="600" t="s">
        <v>68</v>
      </c>
      <c r="C160" s="601"/>
      <c r="D160" s="601"/>
      <c r="E160" s="601"/>
      <c r="F160" s="601"/>
      <c r="G160" s="601"/>
      <c r="H160" s="601"/>
      <c r="I160" s="601"/>
      <c r="J160" s="601"/>
      <c r="K160" s="601"/>
      <c r="L160" s="601"/>
      <c r="M160" s="601"/>
      <c r="N160" s="602"/>
      <c r="P160" s="386"/>
      <c r="Q160" s="42"/>
      <c r="R160" s="42"/>
      <c r="S160" s="42"/>
      <c r="T160" s="42"/>
      <c r="U160" s="42"/>
      <c r="V160" s="42"/>
      <c r="W160" s="42"/>
      <c r="X160" s="42"/>
      <c r="Y160" s="42"/>
      <c r="Z160" s="42"/>
      <c r="BA160" s="287"/>
      <c r="BB160" s="287"/>
      <c r="BC160" s="287"/>
      <c r="BD160" s="287"/>
      <c r="BE160" s="287"/>
      <c r="BF160" s="287"/>
      <c r="BG160" s="287"/>
      <c r="BH160" s="287"/>
      <c r="BI160" s="287"/>
      <c r="BJ160" s="287"/>
      <c r="BK160" s="287"/>
      <c r="BL160" s="287"/>
      <c r="BM160" s="287"/>
      <c r="BN160" s="287"/>
      <c r="BO160" s="287"/>
      <c r="BP160" s="287"/>
      <c r="BQ160" s="287"/>
      <c r="BR160" s="287"/>
      <c r="BS160" s="287"/>
      <c r="BT160" s="287"/>
      <c r="BU160" s="287"/>
      <c r="BV160" s="287"/>
      <c r="BW160" s="287"/>
      <c r="BX160" s="287"/>
      <c r="BY160" s="287"/>
      <c r="BZ160" s="287"/>
      <c r="CA160" s="287"/>
      <c r="CB160" s="287"/>
      <c r="CC160" s="287"/>
      <c r="CD160" s="287"/>
      <c r="CE160" s="287"/>
      <c r="CF160" s="287"/>
      <c r="CG160" s="287"/>
      <c r="CH160" s="287"/>
      <c r="CI160" s="287"/>
      <c r="CJ160" s="287"/>
      <c r="CK160" s="287"/>
      <c r="CL160" s="287"/>
      <c r="CM160" s="287"/>
      <c r="CN160" s="287"/>
      <c r="CO160" s="287"/>
      <c r="CP160" s="287"/>
      <c r="CQ160" s="287"/>
      <c r="CR160" s="287"/>
      <c r="CS160" s="287"/>
      <c r="CT160" s="287"/>
      <c r="CU160" s="287"/>
      <c r="CV160" s="287"/>
      <c r="CW160" s="287"/>
      <c r="CX160" s="287"/>
      <c r="CY160" s="287"/>
      <c r="CZ160" s="287"/>
      <c r="DA160" s="287"/>
      <c r="DB160" s="287"/>
      <c r="DC160" s="287"/>
      <c r="DD160" s="287"/>
      <c r="DE160" s="287"/>
      <c r="DF160" s="287"/>
      <c r="DG160" s="287"/>
      <c r="DH160" s="287"/>
      <c r="DI160" s="287"/>
      <c r="DJ160" s="287"/>
      <c r="DK160" s="287"/>
      <c r="DL160" s="287"/>
      <c r="DM160" s="287"/>
      <c r="DN160" s="287"/>
      <c r="DO160" s="287"/>
      <c r="DP160" s="287"/>
    </row>
    <row r="161" spans="1:120" s="202" customFormat="1" x14ac:dyDescent="0.25">
      <c r="A161" s="205"/>
      <c r="P161" s="3"/>
      <c r="BA161" s="287"/>
      <c r="BB161" s="287"/>
      <c r="BC161" s="287"/>
      <c r="BD161" s="287"/>
      <c r="BE161" s="287"/>
      <c r="BF161" s="287"/>
      <c r="BG161" s="287"/>
      <c r="BH161" s="287"/>
      <c r="BI161" s="287"/>
      <c r="BJ161" s="287"/>
      <c r="BK161" s="287"/>
      <c r="BL161" s="287"/>
      <c r="BM161" s="287"/>
      <c r="BN161" s="287"/>
      <c r="BO161" s="287"/>
      <c r="BP161" s="287"/>
      <c r="BQ161" s="287"/>
      <c r="BR161" s="287"/>
      <c r="BS161" s="287"/>
      <c r="BT161" s="287"/>
      <c r="BU161" s="287"/>
      <c r="BV161" s="287"/>
      <c r="BW161" s="287"/>
      <c r="BX161" s="287"/>
      <c r="BY161" s="287"/>
      <c r="BZ161" s="287"/>
      <c r="CA161" s="287"/>
      <c r="CB161" s="287"/>
      <c r="CC161" s="287"/>
      <c r="CD161" s="287"/>
      <c r="CE161" s="287"/>
      <c r="CF161" s="287"/>
      <c r="CG161" s="287"/>
      <c r="CH161" s="287"/>
      <c r="CI161" s="287"/>
      <c r="CJ161" s="287"/>
      <c r="CK161" s="287"/>
      <c r="CL161" s="287"/>
      <c r="CM161" s="287"/>
      <c r="CN161" s="287"/>
      <c r="CO161" s="287"/>
      <c r="CP161" s="287"/>
      <c r="CQ161" s="287"/>
      <c r="CR161" s="287"/>
      <c r="CS161" s="287"/>
      <c r="CT161" s="287"/>
      <c r="CU161" s="287"/>
      <c r="CV161" s="287"/>
      <c r="CW161" s="287"/>
      <c r="CX161" s="287"/>
      <c r="CY161" s="287"/>
      <c r="CZ161" s="287"/>
      <c r="DA161" s="287"/>
      <c r="DB161" s="287"/>
      <c r="DC161" s="287"/>
      <c r="DD161" s="287"/>
      <c r="DE161" s="287"/>
      <c r="DF161" s="287"/>
      <c r="DG161" s="287"/>
      <c r="DH161" s="287"/>
      <c r="DI161" s="287"/>
      <c r="DJ161" s="287"/>
      <c r="DK161" s="287"/>
      <c r="DL161" s="287"/>
      <c r="DM161" s="287"/>
      <c r="DN161" s="287"/>
      <c r="DO161" s="287"/>
      <c r="DP161" s="287"/>
    </row>
    <row r="162" spans="1:120" s="115" customFormat="1" x14ac:dyDescent="0.25">
      <c r="A162" s="205"/>
      <c r="P162" s="3"/>
      <c r="BA162" s="287"/>
      <c r="BB162" s="287"/>
      <c r="BC162" s="287"/>
      <c r="BD162" s="287"/>
      <c r="BE162" s="287"/>
      <c r="BF162" s="287"/>
      <c r="BG162" s="287"/>
      <c r="BH162" s="287"/>
      <c r="BI162" s="287"/>
      <c r="BJ162" s="287"/>
      <c r="BK162" s="287"/>
      <c r="BL162" s="287"/>
      <c r="BM162" s="287"/>
      <c r="BN162" s="287"/>
      <c r="BO162" s="287"/>
      <c r="BP162" s="287"/>
      <c r="BQ162" s="287"/>
      <c r="BR162" s="287"/>
      <c r="BS162" s="287"/>
      <c r="BT162" s="287"/>
      <c r="BU162" s="287"/>
      <c r="BV162" s="287"/>
      <c r="BW162" s="287"/>
      <c r="BX162" s="287"/>
      <c r="BY162" s="287"/>
      <c r="BZ162" s="287"/>
      <c r="CA162" s="287"/>
      <c r="CB162" s="287"/>
      <c r="CC162" s="287"/>
      <c r="CD162" s="287"/>
      <c r="CE162" s="287"/>
      <c r="CF162" s="287"/>
      <c r="CG162" s="287"/>
      <c r="CH162" s="287"/>
      <c r="CI162" s="287"/>
      <c r="CJ162" s="287"/>
      <c r="CK162" s="287"/>
      <c r="CL162" s="287"/>
      <c r="CM162" s="287"/>
      <c r="CN162" s="287"/>
      <c r="CO162" s="287"/>
      <c r="CP162" s="287"/>
      <c r="CQ162" s="287"/>
      <c r="CR162" s="287"/>
      <c r="CS162" s="287"/>
      <c r="CT162" s="287"/>
      <c r="CU162" s="287"/>
      <c r="CV162" s="287"/>
      <c r="CW162" s="287"/>
      <c r="CX162" s="287"/>
      <c r="CY162" s="287"/>
      <c r="CZ162" s="287"/>
      <c r="DA162" s="287"/>
      <c r="DB162" s="287"/>
      <c r="DC162" s="287"/>
      <c r="DD162" s="287"/>
      <c r="DE162" s="287"/>
      <c r="DF162" s="287"/>
      <c r="DG162" s="287"/>
      <c r="DH162" s="287"/>
      <c r="DI162" s="287"/>
      <c r="DJ162" s="287"/>
      <c r="DK162" s="287"/>
      <c r="DL162" s="287"/>
      <c r="DM162" s="287"/>
      <c r="DN162" s="287"/>
      <c r="DO162" s="287"/>
      <c r="DP162" s="287"/>
    </row>
    <row r="163" spans="1:120" s="115" customFormat="1" x14ac:dyDescent="0.25">
      <c r="A163" s="205"/>
      <c r="B163" s="19"/>
      <c r="C163" s="20">
        <f>$D$16</f>
        <v>0</v>
      </c>
      <c r="D163" s="618">
        <f>$D$18</f>
        <v>0</v>
      </c>
      <c r="E163" s="618"/>
      <c r="F163" s="618"/>
      <c r="G163" s="618"/>
      <c r="H163" s="618"/>
      <c r="I163" s="618"/>
      <c r="J163" s="618"/>
      <c r="K163" s="618"/>
      <c r="P163" s="432"/>
      <c r="Q163" s="432"/>
      <c r="R163" s="643"/>
      <c r="S163" s="643"/>
      <c r="T163" s="643"/>
      <c r="U163" s="643"/>
      <c r="V163" s="643"/>
      <c r="W163" s="643"/>
      <c r="X163" s="643"/>
      <c r="Y163" s="643"/>
      <c r="Z163" s="643"/>
      <c r="AA163" s="643"/>
      <c r="BA163" s="287"/>
      <c r="BB163" s="287"/>
      <c r="BC163" s="287"/>
      <c r="BD163" s="287"/>
      <c r="BE163" s="287"/>
      <c r="BF163" s="287"/>
      <c r="BG163" s="287"/>
      <c r="BH163" s="287"/>
      <c r="BI163" s="287"/>
      <c r="BJ163" s="287"/>
      <c r="BK163" s="287"/>
      <c r="BL163" s="287"/>
      <c r="BM163" s="287"/>
      <c r="BN163" s="287"/>
      <c r="BO163" s="287"/>
      <c r="BP163" s="287"/>
      <c r="BQ163" s="287"/>
      <c r="BR163" s="287"/>
      <c r="BS163" s="287"/>
      <c r="BT163" s="287"/>
      <c r="BU163" s="287"/>
      <c r="BV163" s="287"/>
      <c r="BW163" s="287"/>
      <c r="BX163" s="287"/>
      <c r="BY163" s="287"/>
      <c r="BZ163" s="287"/>
      <c r="CA163" s="287"/>
      <c r="CB163" s="287"/>
      <c r="CC163" s="287"/>
      <c r="CD163" s="287"/>
      <c r="CE163" s="287"/>
      <c r="CF163" s="287"/>
      <c r="CG163" s="287"/>
      <c r="CH163" s="287"/>
      <c r="CI163" s="287"/>
      <c r="CJ163" s="287"/>
      <c r="CK163" s="287"/>
      <c r="CL163" s="287"/>
      <c r="CM163" s="287"/>
      <c r="CN163" s="287"/>
      <c r="CO163" s="287"/>
      <c r="CP163" s="287"/>
      <c r="CQ163" s="287"/>
      <c r="CR163" s="287"/>
      <c r="CS163" s="287"/>
      <c r="CT163" s="287"/>
      <c r="CU163" s="287"/>
      <c r="CV163" s="287"/>
      <c r="CW163" s="287"/>
      <c r="CX163" s="287"/>
      <c r="CY163" s="287"/>
      <c r="CZ163" s="287"/>
      <c r="DA163" s="287"/>
      <c r="DB163" s="287"/>
      <c r="DC163" s="287"/>
      <c r="DD163" s="287"/>
      <c r="DE163" s="287"/>
      <c r="DF163" s="287"/>
      <c r="DG163" s="287"/>
      <c r="DH163" s="287"/>
      <c r="DI163" s="287"/>
      <c r="DJ163" s="287"/>
      <c r="DK163" s="287"/>
      <c r="DL163" s="287"/>
      <c r="DM163" s="287"/>
      <c r="DN163" s="287"/>
      <c r="DO163" s="287"/>
      <c r="DP163" s="287"/>
    </row>
    <row r="164" spans="1:120" s="115" customFormat="1" x14ac:dyDescent="0.25">
      <c r="A164" s="205"/>
      <c r="B164" s="585"/>
      <c r="C164" s="585"/>
      <c r="P164" s="3"/>
      <c r="R164" s="432"/>
      <c r="S164" s="432"/>
      <c r="T164" s="432"/>
      <c r="U164" s="432"/>
      <c r="V164" s="432"/>
      <c r="BA164" s="287"/>
      <c r="BB164" s="287"/>
      <c r="BC164" s="287"/>
      <c r="BD164" s="287"/>
      <c r="BE164" s="287"/>
      <c r="BF164" s="287"/>
      <c r="BG164" s="287"/>
      <c r="BH164" s="287"/>
      <c r="BI164" s="287"/>
      <c r="BJ164" s="287"/>
      <c r="BK164" s="287"/>
      <c r="BL164" s="287"/>
      <c r="BM164" s="287"/>
      <c r="BN164" s="287"/>
      <c r="BO164" s="287"/>
      <c r="BP164" s="287"/>
      <c r="BQ164" s="287"/>
      <c r="BR164" s="287"/>
      <c r="BS164" s="287"/>
      <c r="BT164" s="287"/>
      <c r="BU164" s="287"/>
      <c r="BV164" s="287"/>
      <c r="BW164" s="287"/>
      <c r="BX164" s="287"/>
      <c r="BY164" s="287"/>
      <c r="BZ164" s="287"/>
      <c r="CA164" s="287"/>
      <c r="CB164" s="287"/>
      <c r="CC164" s="287"/>
      <c r="CD164" s="287"/>
      <c r="CE164" s="287"/>
      <c r="CF164" s="287"/>
      <c r="CG164" s="287"/>
      <c r="CH164" s="287"/>
      <c r="CI164" s="287"/>
      <c r="CJ164" s="287"/>
      <c r="CK164" s="287"/>
      <c r="CL164" s="287"/>
      <c r="CM164" s="287"/>
      <c r="CN164" s="287"/>
      <c r="CO164" s="287"/>
      <c r="CP164" s="287"/>
      <c r="CQ164" s="287"/>
      <c r="CR164" s="287"/>
      <c r="CS164" s="287"/>
      <c r="CT164" s="287"/>
      <c r="CU164" s="287"/>
      <c r="CV164" s="287"/>
      <c r="CW164" s="287"/>
      <c r="CX164" s="287"/>
      <c r="CY164" s="287"/>
      <c r="CZ164" s="287"/>
      <c r="DA164" s="287"/>
      <c r="DB164" s="287"/>
      <c r="DC164" s="287"/>
      <c r="DD164" s="287"/>
      <c r="DE164" s="287"/>
      <c r="DF164" s="287"/>
      <c r="DG164" s="287"/>
      <c r="DH164" s="287"/>
      <c r="DI164" s="287"/>
      <c r="DJ164" s="287"/>
      <c r="DK164" s="287"/>
      <c r="DL164" s="287"/>
      <c r="DM164" s="287"/>
      <c r="DN164" s="287"/>
      <c r="DO164" s="287"/>
      <c r="DP164" s="287"/>
    </row>
    <row r="165" spans="1:120" s="115" customFormat="1" ht="23.25" customHeight="1" x14ac:dyDescent="0.25">
      <c r="A165" s="205"/>
      <c r="B165" s="117" t="s">
        <v>28</v>
      </c>
      <c r="C165" s="118"/>
      <c r="D165" s="118"/>
      <c r="E165" s="118"/>
      <c r="F165" s="118"/>
      <c r="G165" s="118"/>
      <c r="H165" s="118"/>
      <c r="I165" s="118"/>
      <c r="J165" s="118"/>
      <c r="K165" s="118"/>
      <c r="L165" s="118"/>
      <c r="M165" s="118"/>
      <c r="N165" s="119"/>
      <c r="P165" s="407"/>
      <c r="Z165" s="198"/>
      <c r="BA165" s="287"/>
      <c r="BB165" s="287"/>
      <c r="BC165" s="287"/>
      <c r="BD165" s="287"/>
      <c r="BE165" s="287"/>
      <c r="BF165" s="287"/>
      <c r="BG165" s="287"/>
      <c r="BH165" s="287"/>
      <c r="BI165" s="287"/>
      <c r="BJ165" s="287"/>
      <c r="BK165" s="287"/>
      <c r="BL165" s="287"/>
      <c r="BM165" s="287"/>
      <c r="BN165" s="287"/>
      <c r="BO165" s="287"/>
      <c r="BP165" s="287"/>
      <c r="BQ165" s="287"/>
      <c r="BR165" s="287"/>
      <c r="BS165" s="287"/>
      <c r="BT165" s="287"/>
      <c r="BU165" s="287"/>
      <c r="BV165" s="287"/>
      <c r="BW165" s="287"/>
      <c r="BX165" s="287"/>
      <c r="BY165" s="287"/>
      <c r="BZ165" s="287"/>
      <c r="CA165" s="287"/>
      <c r="CB165" s="287"/>
      <c r="CC165" s="287"/>
      <c r="CD165" s="287"/>
      <c r="CE165" s="287"/>
      <c r="CF165" s="287"/>
      <c r="CG165" s="287"/>
      <c r="CH165" s="287"/>
      <c r="CI165" s="287"/>
      <c r="CJ165" s="287"/>
      <c r="CK165" s="287"/>
      <c r="CL165" s="287"/>
      <c r="CM165" s="287"/>
      <c r="CN165" s="287"/>
      <c r="CO165" s="287"/>
      <c r="CP165" s="287"/>
      <c r="CQ165" s="287"/>
      <c r="CR165" s="287"/>
      <c r="CS165" s="287"/>
      <c r="CT165" s="287"/>
      <c r="CU165" s="287"/>
      <c r="CV165" s="287"/>
      <c r="CW165" s="287"/>
      <c r="CX165" s="287"/>
      <c r="CY165" s="287"/>
      <c r="CZ165" s="287"/>
      <c r="DA165" s="287"/>
      <c r="DB165" s="287"/>
      <c r="DC165" s="287"/>
      <c r="DD165" s="287"/>
      <c r="DE165" s="287"/>
      <c r="DF165" s="287"/>
      <c r="DG165" s="287"/>
      <c r="DH165" s="287"/>
      <c r="DI165" s="287"/>
      <c r="DJ165" s="287"/>
      <c r="DK165" s="287"/>
      <c r="DL165" s="287"/>
      <c r="DM165" s="287"/>
      <c r="DN165" s="287"/>
      <c r="DO165" s="287"/>
      <c r="DP165" s="287"/>
    </row>
    <row r="166" spans="1:120" s="115" customFormat="1" ht="43.5" customHeight="1" x14ac:dyDescent="0.25">
      <c r="A166" s="205"/>
      <c r="B166" s="586" t="s">
        <v>85</v>
      </c>
      <c r="C166" s="587"/>
      <c r="D166" s="587"/>
      <c r="E166" s="587"/>
      <c r="F166" s="587"/>
      <c r="G166" s="587"/>
      <c r="H166" s="587"/>
      <c r="I166" s="587"/>
      <c r="J166" s="587"/>
      <c r="K166" s="587"/>
      <c r="L166" s="587"/>
      <c r="M166" s="587"/>
      <c r="N166" s="588"/>
      <c r="P166" s="372"/>
      <c r="Q166" s="355"/>
      <c r="R166" s="355"/>
      <c r="S166" s="355"/>
      <c r="T166" s="355"/>
      <c r="U166" s="355"/>
      <c r="V166" s="355"/>
      <c r="W166" s="355"/>
      <c r="X166" s="355"/>
      <c r="Y166" s="496"/>
      <c r="Z166" s="355"/>
      <c r="AA166" s="355"/>
      <c r="AB166" s="355"/>
      <c r="AC166" s="355"/>
      <c r="AD166" s="355"/>
      <c r="AE166" s="355"/>
      <c r="AF166" s="355"/>
      <c r="AG166" s="355"/>
      <c r="AH166" s="287"/>
      <c r="AI166" s="496"/>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c r="BR166" s="287"/>
      <c r="BS166" s="287"/>
      <c r="BT166" s="287"/>
      <c r="BU166" s="287"/>
      <c r="BV166" s="287"/>
      <c r="BW166" s="287"/>
      <c r="BX166" s="287"/>
      <c r="BY166" s="287"/>
      <c r="BZ166" s="287"/>
      <c r="CA166" s="287"/>
      <c r="CB166" s="287"/>
      <c r="CC166" s="287"/>
      <c r="CD166" s="287"/>
      <c r="CE166" s="287"/>
      <c r="CF166" s="287"/>
      <c r="CG166" s="287"/>
      <c r="CH166" s="287"/>
      <c r="CI166" s="287"/>
      <c r="CJ166" s="287"/>
      <c r="CK166" s="287"/>
      <c r="CL166" s="287"/>
      <c r="CM166" s="287"/>
      <c r="CN166" s="287"/>
      <c r="CO166" s="287"/>
      <c r="CP166" s="287"/>
      <c r="CQ166" s="287"/>
      <c r="CR166" s="287"/>
      <c r="CS166" s="287"/>
      <c r="CT166" s="287"/>
      <c r="CU166" s="287"/>
      <c r="CV166" s="287"/>
      <c r="CW166" s="287"/>
      <c r="CX166" s="287"/>
      <c r="CY166" s="287"/>
      <c r="CZ166" s="287"/>
      <c r="DA166" s="287"/>
      <c r="DB166" s="287"/>
      <c r="DC166" s="287"/>
      <c r="DD166" s="287"/>
      <c r="DE166" s="287"/>
      <c r="DF166" s="287"/>
      <c r="DG166" s="287"/>
      <c r="DH166" s="287"/>
      <c r="DI166" s="287"/>
      <c r="DJ166" s="287"/>
      <c r="DK166" s="287"/>
      <c r="DL166" s="287"/>
      <c r="DM166" s="287"/>
      <c r="DN166" s="287"/>
      <c r="DO166" s="287"/>
      <c r="DP166" s="287"/>
    </row>
    <row r="167" spans="1:120" s="115" customFormat="1" ht="42.75" customHeight="1" x14ac:dyDescent="0.25">
      <c r="A167" s="205"/>
      <c r="B167" s="802"/>
      <c r="C167" s="803"/>
      <c r="D167" s="804"/>
      <c r="E167" s="120" t="s">
        <v>12</v>
      </c>
      <c r="F167" s="352"/>
      <c r="G167" s="362" t="s">
        <v>130</v>
      </c>
      <c r="H167" s="352"/>
      <c r="I167" s="352"/>
      <c r="J167" s="352"/>
      <c r="K167" s="352"/>
      <c r="L167" s="352"/>
      <c r="M167" s="352"/>
      <c r="N167" s="352"/>
      <c r="P167" s="372"/>
      <c r="Q167" s="355"/>
      <c r="R167" s="355"/>
      <c r="S167" s="355"/>
      <c r="T167" s="355"/>
      <c r="U167" s="355"/>
      <c r="V167" s="355"/>
      <c r="W167" s="355"/>
      <c r="X167" s="355"/>
      <c r="Y167" s="267"/>
      <c r="Z167" s="355"/>
      <c r="AA167" s="355"/>
      <c r="AB167" s="355"/>
      <c r="AC167" s="355"/>
      <c r="AD167" s="355"/>
      <c r="AE167" s="355"/>
      <c r="AF167" s="355"/>
      <c r="AG167" s="355"/>
      <c r="AH167" s="287"/>
      <c r="AI167" s="26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c r="BT167" s="287"/>
      <c r="BU167" s="287"/>
      <c r="BV167" s="287"/>
      <c r="BW167" s="287"/>
      <c r="BX167" s="287"/>
      <c r="BY167" s="287"/>
      <c r="BZ167" s="287"/>
      <c r="CA167" s="287"/>
      <c r="CB167" s="287"/>
      <c r="CC167" s="287"/>
      <c r="CD167" s="287"/>
      <c r="CE167" s="287"/>
      <c r="CF167" s="287"/>
      <c r="CG167" s="287"/>
      <c r="CH167" s="287"/>
      <c r="CI167" s="287"/>
      <c r="CJ167" s="287"/>
      <c r="CK167" s="287"/>
      <c r="CL167" s="287"/>
      <c r="CM167" s="287"/>
      <c r="CN167" s="287"/>
      <c r="CO167" s="287"/>
      <c r="CP167" s="287"/>
      <c r="CQ167" s="287"/>
      <c r="CR167" s="287"/>
      <c r="CS167" s="287"/>
      <c r="CT167" s="287"/>
      <c r="CU167" s="287"/>
      <c r="CV167" s="287"/>
      <c r="CW167" s="287"/>
      <c r="CX167" s="287"/>
      <c r="CY167" s="287"/>
      <c r="CZ167" s="287"/>
      <c r="DA167" s="287"/>
      <c r="DB167" s="287"/>
      <c r="DC167" s="287"/>
      <c r="DD167" s="287"/>
      <c r="DE167" s="287"/>
      <c r="DF167" s="287"/>
      <c r="DG167" s="287"/>
      <c r="DH167" s="287"/>
      <c r="DI167" s="287"/>
      <c r="DJ167" s="287"/>
      <c r="DK167" s="287"/>
      <c r="DL167" s="287"/>
      <c r="DM167" s="287"/>
      <c r="DN167" s="287"/>
      <c r="DO167" s="287"/>
      <c r="DP167" s="287"/>
    </row>
    <row r="168" spans="1:120" s="115" customFormat="1" ht="42.75" customHeight="1" x14ac:dyDescent="0.25">
      <c r="A168" s="205"/>
      <c r="B168" s="625" t="s">
        <v>67</v>
      </c>
      <c r="C168" s="626"/>
      <c r="D168" s="627"/>
      <c r="E168" s="30" t="str">
        <f>IF(ISBLANK(N71),"",N71)</f>
        <v/>
      </c>
      <c r="F168" s="352"/>
      <c r="G168" s="605"/>
      <c r="H168" s="605"/>
      <c r="I168" s="605"/>
      <c r="J168" s="605"/>
      <c r="K168" s="605"/>
      <c r="L168" s="605"/>
      <c r="M168" s="605"/>
      <c r="N168" s="605"/>
      <c r="O168" s="373" t="str">
        <f>IF(P168=1, "&lt;===", "")</f>
        <v/>
      </c>
      <c r="P168" s="370" t="str">
        <f>IF(AND(E168&lt;&gt;"",G168="",D432&lt;&gt;""), 1, "")</f>
        <v/>
      </c>
      <c r="Q168" s="355"/>
      <c r="R168" s="355"/>
      <c r="S168" s="355"/>
      <c r="T168" s="355"/>
      <c r="U168" s="355"/>
      <c r="V168" s="355"/>
      <c r="W168" s="355"/>
      <c r="X168" s="355"/>
      <c r="Y168" s="287"/>
      <c r="Z168" s="355"/>
      <c r="AA168" s="355"/>
      <c r="AB168" s="355"/>
      <c r="AC168" s="355"/>
      <c r="AD168" s="355"/>
      <c r="AE168" s="355"/>
      <c r="AF168" s="355"/>
      <c r="AG168" s="355"/>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c r="BR168" s="287"/>
      <c r="BS168" s="287"/>
      <c r="BT168" s="287"/>
      <c r="BU168" s="287"/>
      <c r="BV168" s="287"/>
      <c r="BW168" s="287"/>
      <c r="BX168" s="287"/>
      <c r="BY168" s="287"/>
      <c r="BZ168" s="287"/>
      <c r="CA168" s="287"/>
      <c r="CB168" s="287"/>
      <c r="CC168" s="287"/>
      <c r="CD168" s="287"/>
      <c r="CE168" s="287"/>
      <c r="CF168" s="287"/>
      <c r="CG168" s="287"/>
      <c r="CH168" s="287"/>
      <c r="CI168" s="287"/>
      <c r="CJ168" s="287"/>
      <c r="CK168" s="287"/>
      <c r="CL168" s="287"/>
      <c r="CM168" s="287"/>
      <c r="CN168" s="287"/>
      <c r="CO168" s="287"/>
      <c r="CP168" s="287"/>
      <c r="CQ168" s="287"/>
      <c r="CR168" s="287"/>
      <c r="CS168" s="287"/>
      <c r="CT168" s="287"/>
      <c r="CU168" s="287"/>
      <c r="CV168" s="287"/>
      <c r="CW168" s="287"/>
      <c r="CX168" s="287"/>
      <c r="CY168" s="287"/>
      <c r="CZ168" s="287"/>
      <c r="DA168" s="287"/>
      <c r="DB168" s="287"/>
      <c r="DC168" s="287"/>
      <c r="DD168" s="287"/>
      <c r="DE168" s="287"/>
      <c r="DF168" s="287"/>
      <c r="DG168" s="287"/>
      <c r="DH168" s="287"/>
      <c r="DI168" s="287"/>
      <c r="DJ168" s="287"/>
      <c r="DK168" s="287"/>
      <c r="DL168" s="287"/>
      <c r="DM168" s="287"/>
      <c r="DN168" s="287"/>
      <c r="DO168" s="287"/>
      <c r="DP168" s="287"/>
    </row>
    <row r="169" spans="1:120" s="115" customFormat="1" ht="42.75" customHeight="1" x14ac:dyDescent="0.25">
      <c r="A169" s="205"/>
      <c r="B169" s="719" t="str">
        <f>"Total Positive Placement in " &amp;D4</f>
        <v>Total Positive Placement in 2022</v>
      </c>
      <c r="C169" s="720"/>
      <c r="D169" s="721"/>
      <c r="E169" s="254" t="str">
        <f>IF(ISBLANK(N117),"",N117)</f>
        <v/>
      </c>
      <c r="F169" s="352"/>
      <c r="G169" s="605"/>
      <c r="H169" s="605"/>
      <c r="I169" s="605"/>
      <c r="J169" s="605"/>
      <c r="K169" s="605"/>
      <c r="L169" s="605"/>
      <c r="M169" s="605"/>
      <c r="N169" s="605"/>
      <c r="O169" s="390" t="str">
        <f>IF(P169=1, "&lt;===", "")</f>
        <v/>
      </c>
      <c r="P169" s="371" t="str">
        <f>IF(AND(E168&lt;&gt;"",E169="",G168="",D432&lt;&gt;""), 1, "")</f>
        <v/>
      </c>
      <c r="Q169" s="355"/>
      <c r="R169" s="355"/>
      <c r="S169" s="355"/>
      <c r="T169" s="355"/>
      <c r="U169" s="355"/>
      <c r="V169" s="355"/>
      <c r="W169" s="355"/>
      <c r="X169" s="355"/>
      <c r="Y169" s="287"/>
      <c r="Z169" s="355"/>
      <c r="AA169" s="355"/>
      <c r="AB169" s="355"/>
      <c r="AC169" s="355"/>
      <c r="AD169" s="355"/>
      <c r="AE169" s="355"/>
      <c r="AF169" s="355"/>
      <c r="AG169" s="355"/>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c r="BR169" s="287"/>
      <c r="BS169" s="287"/>
      <c r="BT169" s="287"/>
      <c r="BU169" s="287"/>
      <c r="BV169" s="287"/>
      <c r="BW169" s="287"/>
      <c r="BX169" s="287"/>
      <c r="BY169" s="287"/>
      <c r="BZ169" s="287"/>
      <c r="CA169" s="287"/>
      <c r="CB169" s="287"/>
      <c r="CC169" s="287"/>
      <c r="CD169" s="287"/>
      <c r="CE169" s="287"/>
      <c r="CF169" s="287"/>
      <c r="CG169" s="287"/>
      <c r="CH169" s="287"/>
      <c r="CI169" s="287"/>
      <c r="CJ169" s="287"/>
      <c r="CK169" s="287"/>
      <c r="CL169" s="287"/>
      <c r="CM169" s="287"/>
      <c r="CN169" s="287"/>
      <c r="CO169" s="287"/>
      <c r="CP169" s="287"/>
      <c r="CQ169" s="287"/>
      <c r="CR169" s="287"/>
      <c r="CS169" s="287"/>
      <c r="CT169" s="287"/>
      <c r="CU169" s="287"/>
      <c r="CV169" s="287"/>
      <c r="CW169" s="287"/>
      <c r="CX169" s="287"/>
      <c r="CY169" s="287"/>
      <c r="CZ169" s="287"/>
      <c r="DA169" s="287"/>
      <c r="DB169" s="287"/>
      <c r="DC169" s="287"/>
      <c r="DD169" s="287"/>
      <c r="DE169" s="287"/>
      <c r="DF169" s="287"/>
      <c r="DG169" s="287"/>
      <c r="DH169" s="287"/>
      <c r="DI169" s="287"/>
      <c r="DJ169" s="287"/>
      <c r="DK169" s="287"/>
      <c r="DL169" s="287"/>
      <c r="DM169" s="287"/>
      <c r="DN169" s="287"/>
      <c r="DO169" s="287"/>
      <c r="DP169" s="287"/>
    </row>
    <row r="170" spans="1:120" s="115" customFormat="1" ht="49.5" customHeight="1" x14ac:dyDescent="0.25">
      <c r="A170" s="205"/>
      <c r="B170" s="759" t="s">
        <v>131</v>
      </c>
      <c r="C170" s="760"/>
      <c r="D170" s="761"/>
      <c r="E170" s="255"/>
      <c r="F170" s="352"/>
      <c r="G170" s="605"/>
      <c r="H170" s="605"/>
      <c r="I170" s="605"/>
      <c r="J170" s="605"/>
      <c r="K170" s="605"/>
      <c r="L170" s="605"/>
      <c r="M170" s="605"/>
      <c r="N170" s="605"/>
      <c r="O170" s="373" t="str">
        <f>IF(P170=1, "&lt;===", "")</f>
        <v/>
      </c>
      <c r="P170" s="371" t="str">
        <f>IF(AND(E168&lt;&gt;"",E170="",D432&lt;&gt;""), 1, "")</f>
        <v/>
      </c>
      <c r="Q170" s="355"/>
      <c r="R170" s="355"/>
      <c r="S170" s="355"/>
      <c r="T170" s="355"/>
      <c r="U170" s="355"/>
      <c r="V170" s="355"/>
      <c r="W170" s="355"/>
      <c r="X170" s="355"/>
      <c r="Y170" s="287"/>
      <c r="Z170" s="355"/>
      <c r="AA170" s="355"/>
      <c r="AB170" s="355"/>
      <c r="AC170" s="355"/>
      <c r="AD170" s="355"/>
      <c r="AE170" s="355"/>
      <c r="AF170" s="355"/>
      <c r="AG170" s="355"/>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c r="BT170" s="287"/>
      <c r="BU170" s="287"/>
      <c r="BV170" s="287"/>
      <c r="BW170" s="287"/>
      <c r="BX170" s="287"/>
      <c r="BY170" s="287"/>
      <c r="BZ170" s="287"/>
      <c r="CA170" s="287"/>
      <c r="CB170" s="287"/>
      <c r="CC170" s="287"/>
      <c r="CD170" s="287"/>
      <c r="CE170" s="287"/>
      <c r="CF170" s="287"/>
      <c r="CG170" s="287"/>
      <c r="CH170" s="287"/>
      <c r="CI170" s="287"/>
      <c r="CJ170" s="287"/>
      <c r="CK170" s="287"/>
      <c r="CL170" s="287"/>
      <c r="CM170" s="287"/>
      <c r="CN170" s="287"/>
      <c r="CO170" s="287"/>
      <c r="CP170" s="287"/>
      <c r="CQ170" s="287"/>
      <c r="CR170" s="287"/>
      <c r="CS170" s="287"/>
      <c r="CT170" s="287"/>
      <c r="CU170" s="287"/>
      <c r="CV170" s="287"/>
      <c r="CW170" s="287"/>
      <c r="CX170" s="287"/>
      <c r="CY170" s="287"/>
      <c r="CZ170" s="287"/>
      <c r="DA170" s="287"/>
      <c r="DB170" s="287"/>
      <c r="DC170" s="287"/>
      <c r="DD170" s="287"/>
      <c r="DE170" s="287"/>
      <c r="DF170" s="287"/>
      <c r="DG170" s="287"/>
      <c r="DH170" s="287"/>
      <c r="DI170" s="287"/>
      <c r="DJ170" s="287"/>
      <c r="DK170" s="287"/>
      <c r="DL170" s="287"/>
      <c r="DM170" s="287"/>
      <c r="DN170" s="287"/>
      <c r="DO170" s="287"/>
      <c r="DP170" s="287"/>
    </row>
    <row r="171" spans="1:120" s="199" customFormat="1" ht="49.5" customHeight="1" x14ac:dyDescent="0.25">
      <c r="A171" s="205"/>
      <c r="B171" s="741" t="s">
        <v>133</v>
      </c>
      <c r="C171" s="742"/>
      <c r="D171" s="743"/>
      <c r="E171" s="255"/>
      <c r="F171" s="352"/>
      <c r="G171" s="605"/>
      <c r="H171" s="605"/>
      <c r="I171" s="605"/>
      <c r="J171" s="605"/>
      <c r="K171" s="605"/>
      <c r="L171" s="605"/>
      <c r="M171" s="605"/>
      <c r="N171" s="605"/>
      <c r="O171" s="373" t="str">
        <f>IF(P171=1, "&lt;===", "")</f>
        <v/>
      </c>
      <c r="P171" s="371" t="str">
        <f>IF(AND(E168&lt;&gt;"",E171="",D432&lt;&gt;""), 1, "")</f>
        <v/>
      </c>
      <c r="Q171" s="355"/>
      <c r="R171" s="355"/>
      <c r="S171" s="355"/>
      <c r="T171" s="355"/>
      <c r="U171" s="355"/>
      <c r="V171" s="355"/>
      <c r="W171" s="355"/>
      <c r="X171" s="355"/>
      <c r="Y171" s="287"/>
      <c r="Z171" s="355"/>
      <c r="AA171" s="355"/>
      <c r="AB171" s="355"/>
      <c r="AC171" s="355"/>
      <c r="AD171" s="355"/>
      <c r="AE171" s="355"/>
      <c r="AF171" s="355"/>
      <c r="AG171" s="355"/>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c r="BT171" s="287"/>
      <c r="BU171" s="287"/>
      <c r="BV171" s="287"/>
      <c r="BW171" s="287"/>
      <c r="BX171" s="287"/>
      <c r="BY171" s="287"/>
      <c r="BZ171" s="287"/>
      <c r="CA171" s="287"/>
      <c r="CB171" s="287"/>
      <c r="CC171" s="287"/>
      <c r="CD171" s="287"/>
      <c r="CE171" s="287"/>
      <c r="CF171" s="287"/>
      <c r="CG171" s="287"/>
      <c r="CH171" s="287"/>
      <c r="CI171" s="287"/>
      <c r="CJ171" s="287"/>
      <c r="CK171" s="287"/>
      <c r="CL171" s="287"/>
      <c r="CM171" s="287"/>
      <c r="CN171" s="287"/>
      <c r="CO171" s="287"/>
      <c r="CP171" s="287"/>
      <c r="CQ171" s="287"/>
      <c r="CR171" s="287"/>
      <c r="CS171" s="287"/>
      <c r="CT171" s="287"/>
      <c r="CU171" s="287"/>
      <c r="CV171" s="287"/>
      <c r="CW171" s="287"/>
      <c r="CX171" s="287"/>
      <c r="CY171" s="287"/>
      <c r="CZ171" s="287"/>
      <c r="DA171" s="287"/>
      <c r="DB171" s="287"/>
      <c r="DC171" s="287"/>
      <c r="DD171" s="287"/>
      <c r="DE171" s="287"/>
      <c r="DF171" s="287"/>
      <c r="DG171" s="287"/>
      <c r="DH171" s="287"/>
      <c r="DI171" s="287"/>
      <c r="DJ171" s="287"/>
      <c r="DK171" s="287"/>
      <c r="DL171" s="287"/>
      <c r="DM171" s="287"/>
      <c r="DN171" s="287"/>
      <c r="DO171" s="287"/>
      <c r="DP171" s="287"/>
    </row>
    <row r="172" spans="1:120" s="257" customFormat="1" ht="49.5" customHeight="1" x14ac:dyDescent="0.25">
      <c r="A172" s="205"/>
      <c r="B172" s="619"/>
      <c r="C172" s="620"/>
      <c r="D172" s="620"/>
      <c r="E172" s="352"/>
      <c r="F172" s="352"/>
      <c r="G172" s="605"/>
      <c r="H172" s="605"/>
      <c r="I172" s="605"/>
      <c r="J172" s="605"/>
      <c r="K172" s="605"/>
      <c r="L172" s="605"/>
      <c r="M172" s="605"/>
      <c r="N172" s="605"/>
      <c r="O172" s="221" t="str">
        <f>IF(O195=1, "&lt;===", "")</f>
        <v/>
      </c>
      <c r="P172" s="372"/>
      <c r="Q172" s="367"/>
      <c r="R172" s="367"/>
      <c r="S172" s="367"/>
      <c r="T172" s="367"/>
      <c r="U172" s="367"/>
      <c r="V172" s="367"/>
      <c r="W172" s="367"/>
      <c r="X172" s="367"/>
      <c r="Z172" s="367"/>
      <c r="AA172" s="367"/>
      <c r="AB172" s="367"/>
      <c r="AC172" s="367"/>
      <c r="AD172" s="367"/>
      <c r="AE172" s="367"/>
      <c r="AF172" s="367"/>
      <c r="AG172" s="367"/>
      <c r="AH172" s="292"/>
      <c r="BA172" s="287"/>
      <c r="BB172" s="287"/>
      <c r="BC172" s="287"/>
      <c r="BD172" s="287"/>
      <c r="BE172" s="287"/>
      <c r="BF172" s="287"/>
      <c r="BG172" s="287"/>
      <c r="BH172" s="287"/>
      <c r="BI172" s="287"/>
      <c r="BJ172" s="287"/>
      <c r="BK172" s="287"/>
      <c r="BL172" s="287"/>
      <c r="BM172" s="287"/>
      <c r="BN172" s="287"/>
      <c r="BO172" s="287"/>
      <c r="BP172" s="287"/>
      <c r="BQ172" s="287"/>
      <c r="BR172" s="287"/>
      <c r="BS172" s="287"/>
      <c r="BT172" s="287"/>
      <c r="BU172" s="287"/>
      <c r="BV172" s="287"/>
      <c r="BW172" s="287"/>
      <c r="BX172" s="287"/>
      <c r="BY172" s="287"/>
      <c r="BZ172" s="287"/>
      <c r="CA172" s="287"/>
      <c r="CB172" s="287"/>
      <c r="CC172" s="287"/>
      <c r="CD172" s="287"/>
      <c r="CE172" s="287"/>
      <c r="CF172" s="287"/>
      <c r="CG172" s="287"/>
      <c r="CH172" s="287"/>
      <c r="CI172" s="287"/>
      <c r="CJ172" s="287"/>
      <c r="CK172" s="287"/>
      <c r="CL172" s="287"/>
      <c r="CM172" s="287"/>
      <c r="CN172" s="287"/>
      <c r="CO172" s="287"/>
      <c r="CP172" s="287"/>
      <c r="CQ172" s="287"/>
      <c r="CR172" s="287"/>
      <c r="CS172" s="287"/>
      <c r="CT172" s="287"/>
      <c r="CU172" s="287"/>
      <c r="CV172" s="287"/>
      <c r="CW172" s="287"/>
      <c r="CX172" s="287"/>
      <c r="CY172" s="287"/>
      <c r="CZ172" s="287"/>
      <c r="DA172" s="287"/>
      <c r="DB172" s="287"/>
      <c r="DC172" s="287"/>
      <c r="DD172" s="287"/>
      <c r="DE172" s="287"/>
      <c r="DF172" s="287"/>
      <c r="DG172" s="287"/>
      <c r="DH172" s="287"/>
      <c r="DI172" s="287"/>
      <c r="DJ172" s="287"/>
      <c r="DK172" s="287"/>
      <c r="DL172" s="287"/>
      <c r="DM172" s="287"/>
      <c r="DN172" s="287"/>
      <c r="DO172" s="287"/>
      <c r="DP172" s="287"/>
    </row>
    <row r="173" spans="1:120" s="115" customFormat="1" ht="42.75" customHeight="1" x14ac:dyDescent="0.25">
      <c r="A173" s="205"/>
      <c r="B173" s="619"/>
      <c r="C173" s="620"/>
      <c r="D173" s="620"/>
      <c r="E173" s="352"/>
      <c r="F173" s="352"/>
      <c r="G173" s="363" t="s">
        <v>132</v>
      </c>
      <c r="H173" s="352"/>
      <c r="I173" s="352"/>
      <c r="J173" s="352"/>
      <c r="K173" s="352"/>
      <c r="L173" s="352"/>
      <c r="M173" s="352"/>
      <c r="N173" s="352"/>
      <c r="O173" s="367"/>
      <c r="P173" s="372"/>
      <c r="Q173" s="367"/>
      <c r="R173" s="367"/>
      <c r="S173" s="367"/>
      <c r="T173" s="367"/>
      <c r="U173" s="367"/>
      <c r="V173" s="367"/>
      <c r="W173" s="367"/>
      <c r="X173" s="367"/>
      <c r="Z173" s="367"/>
      <c r="AA173" s="367"/>
      <c r="AB173" s="367"/>
      <c r="AC173" s="367"/>
      <c r="AD173" s="367"/>
      <c r="AE173" s="367"/>
      <c r="AF173" s="367"/>
      <c r="AG173" s="367"/>
      <c r="AH173" s="292"/>
      <c r="BA173" s="287"/>
      <c r="BB173" s="287"/>
      <c r="BC173" s="287"/>
      <c r="BD173" s="287"/>
      <c r="BE173" s="287"/>
      <c r="BF173" s="287"/>
      <c r="BG173" s="287"/>
      <c r="BH173" s="287"/>
      <c r="BI173" s="287"/>
      <c r="BJ173" s="287"/>
      <c r="BK173" s="287"/>
      <c r="BL173" s="287"/>
      <c r="BM173" s="287"/>
      <c r="BN173" s="287"/>
      <c r="BO173" s="287"/>
      <c r="BP173" s="287"/>
      <c r="BQ173" s="287"/>
      <c r="BR173" s="287"/>
      <c r="BS173" s="287"/>
      <c r="BT173" s="287"/>
      <c r="BU173" s="287"/>
      <c r="BV173" s="287"/>
      <c r="BW173" s="287"/>
      <c r="BX173" s="287"/>
      <c r="BY173" s="287"/>
      <c r="BZ173" s="287"/>
      <c r="CA173" s="287"/>
      <c r="CB173" s="287"/>
      <c r="CC173" s="287"/>
      <c r="CD173" s="287"/>
      <c r="CE173" s="287"/>
      <c r="CF173" s="287"/>
      <c r="CG173" s="287"/>
      <c r="CH173" s="287"/>
      <c r="CI173" s="287"/>
      <c r="CJ173" s="287"/>
      <c r="CK173" s="287"/>
      <c r="CL173" s="287"/>
      <c r="CM173" s="287"/>
      <c r="CN173" s="287"/>
      <c r="CO173" s="287"/>
      <c r="CP173" s="287"/>
      <c r="CQ173" s="287"/>
      <c r="CR173" s="287"/>
      <c r="CS173" s="287"/>
      <c r="CT173" s="287"/>
      <c r="CU173" s="287"/>
      <c r="CV173" s="287"/>
      <c r="CW173" s="287"/>
      <c r="CX173" s="287"/>
      <c r="CY173" s="287"/>
      <c r="CZ173" s="287"/>
      <c r="DA173" s="287"/>
      <c r="DB173" s="287"/>
      <c r="DC173" s="287"/>
      <c r="DD173" s="287"/>
      <c r="DE173" s="287"/>
      <c r="DF173" s="287"/>
      <c r="DG173" s="287"/>
      <c r="DH173" s="287"/>
      <c r="DI173" s="287"/>
      <c r="DJ173" s="287"/>
      <c r="DK173" s="287"/>
      <c r="DL173" s="287"/>
      <c r="DM173" s="287"/>
      <c r="DN173" s="287"/>
      <c r="DO173" s="287"/>
      <c r="DP173" s="287"/>
    </row>
    <row r="174" spans="1:120" s="115" customFormat="1" ht="42.75" customHeight="1" x14ac:dyDescent="0.25">
      <c r="A174" s="13"/>
      <c r="B174" s="616"/>
      <c r="C174" s="616"/>
      <c r="D174" s="616"/>
      <c r="E174" s="352"/>
      <c r="F174" s="352"/>
      <c r="G174" s="605"/>
      <c r="H174" s="605"/>
      <c r="I174" s="605"/>
      <c r="J174" s="605"/>
      <c r="K174" s="605"/>
      <c r="L174" s="605"/>
      <c r="M174" s="605"/>
      <c r="N174" s="605"/>
      <c r="O174" s="373" t="str">
        <f>IF(P174=1, "&lt;===", "")</f>
        <v/>
      </c>
      <c r="P174" s="267" t="str">
        <f>IF(AND(E168&lt;&gt;"",G174="",D432&lt;&gt;""), 1, "")</f>
        <v/>
      </c>
      <c r="Q174" s="251"/>
      <c r="R174" s="251"/>
      <c r="S174" s="251"/>
      <c r="T174" s="251"/>
      <c r="U174" s="251"/>
      <c r="V174" s="251"/>
      <c r="W174" s="251"/>
      <c r="Z174" s="251"/>
      <c r="AA174" s="251"/>
      <c r="AB174" s="251"/>
      <c r="AC174" s="251"/>
      <c r="AD174" s="251"/>
      <c r="AE174" s="251"/>
      <c r="AF174" s="251"/>
      <c r="AG174" s="251"/>
      <c r="BA174" s="287"/>
      <c r="BB174" s="287"/>
      <c r="BC174" s="287"/>
      <c r="BD174" s="287"/>
      <c r="BE174" s="287"/>
      <c r="BF174" s="287"/>
      <c r="BG174" s="287"/>
      <c r="BH174" s="287"/>
      <c r="BI174" s="287"/>
      <c r="BJ174" s="287"/>
      <c r="BK174" s="287"/>
      <c r="BL174" s="287"/>
      <c r="BM174" s="287"/>
      <c r="BN174" s="287"/>
      <c r="BO174" s="287"/>
      <c r="BP174" s="287"/>
      <c r="BQ174" s="287"/>
      <c r="BR174" s="287"/>
      <c r="BS174" s="287"/>
      <c r="BT174" s="287"/>
      <c r="BU174" s="287"/>
      <c r="BV174" s="287"/>
      <c r="BW174" s="287"/>
      <c r="BX174" s="287"/>
      <c r="BY174" s="287"/>
      <c r="BZ174" s="287"/>
      <c r="CA174" s="287"/>
      <c r="CB174" s="287"/>
      <c r="CC174" s="287"/>
      <c r="CD174" s="287"/>
      <c r="CE174" s="287"/>
      <c r="CF174" s="287"/>
      <c r="CG174" s="287"/>
      <c r="CH174" s="287"/>
      <c r="CI174" s="287"/>
      <c r="CJ174" s="287"/>
      <c r="CK174" s="287"/>
      <c r="CL174" s="287"/>
      <c r="CM174" s="287"/>
      <c r="CN174" s="287"/>
      <c r="CO174" s="287"/>
      <c r="CP174" s="287"/>
      <c r="CQ174" s="287"/>
      <c r="CR174" s="287"/>
      <c r="CS174" s="287"/>
      <c r="CT174" s="287"/>
      <c r="CU174" s="287"/>
      <c r="CV174" s="287"/>
      <c r="CW174" s="287"/>
      <c r="CX174" s="287"/>
      <c r="CY174" s="287"/>
      <c r="CZ174" s="287"/>
      <c r="DA174" s="287"/>
      <c r="DB174" s="287"/>
      <c r="DC174" s="287"/>
      <c r="DD174" s="287"/>
      <c r="DE174" s="287"/>
      <c r="DF174" s="287"/>
      <c r="DG174" s="287"/>
      <c r="DH174" s="287"/>
      <c r="DI174" s="287"/>
      <c r="DJ174" s="287"/>
      <c r="DK174" s="287"/>
      <c r="DL174" s="287"/>
      <c r="DM174" s="287"/>
      <c r="DN174" s="287"/>
      <c r="DO174" s="287"/>
      <c r="DP174" s="287"/>
    </row>
    <row r="175" spans="1:120" s="115" customFormat="1" ht="42.75" customHeight="1" x14ac:dyDescent="0.25">
      <c r="A175" s="13"/>
      <c r="B175" s="616"/>
      <c r="C175" s="616"/>
      <c r="D175" s="616"/>
      <c r="E175" s="366"/>
      <c r="F175" s="366"/>
      <c r="G175" s="605"/>
      <c r="H175" s="605"/>
      <c r="I175" s="605"/>
      <c r="J175" s="605"/>
      <c r="K175" s="605"/>
      <c r="L175" s="605"/>
      <c r="M175" s="605"/>
      <c r="N175" s="605"/>
      <c r="P175" s="3"/>
      <c r="BA175" s="287"/>
      <c r="BB175" s="287"/>
      <c r="BC175" s="287"/>
      <c r="BD175" s="287"/>
      <c r="BE175" s="287"/>
      <c r="BF175" s="287"/>
      <c r="BG175" s="287"/>
      <c r="BH175" s="287"/>
      <c r="BI175" s="287"/>
      <c r="BJ175" s="287"/>
      <c r="BK175" s="287"/>
      <c r="BL175" s="287"/>
      <c r="BM175" s="287"/>
      <c r="BN175" s="287"/>
      <c r="BO175" s="287"/>
      <c r="BP175" s="287"/>
      <c r="BQ175" s="287"/>
      <c r="BR175" s="287"/>
      <c r="BS175" s="287"/>
      <c r="BT175" s="287"/>
      <c r="BU175" s="287"/>
      <c r="BV175" s="287"/>
      <c r="BW175" s="287"/>
      <c r="BX175" s="287"/>
      <c r="BY175" s="287"/>
      <c r="BZ175" s="287"/>
      <c r="CA175" s="287"/>
      <c r="CB175" s="287"/>
      <c r="CC175" s="287"/>
      <c r="CD175" s="287"/>
      <c r="CE175" s="287"/>
      <c r="CF175" s="287"/>
      <c r="CG175" s="287"/>
      <c r="CH175" s="287"/>
      <c r="CI175" s="287"/>
      <c r="CJ175" s="287"/>
      <c r="CK175" s="287"/>
      <c r="CL175" s="287"/>
      <c r="CM175" s="287"/>
      <c r="CN175" s="287"/>
      <c r="CO175" s="287"/>
      <c r="CP175" s="287"/>
      <c r="CQ175" s="287"/>
      <c r="CR175" s="287"/>
      <c r="CS175" s="287"/>
      <c r="CT175" s="287"/>
      <c r="CU175" s="287"/>
      <c r="CV175" s="287"/>
      <c r="CW175" s="287"/>
      <c r="CX175" s="287"/>
      <c r="CY175" s="287"/>
      <c r="CZ175" s="287"/>
      <c r="DA175" s="287"/>
      <c r="DB175" s="287"/>
      <c r="DC175" s="287"/>
      <c r="DD175" s="287"/>
      <c r="DE175" s="287"/>
      <c r="DF175" s="287"/>
      <c r="DG175" s="287"/>
      <c r="DH175" s="287"/>
      <c r="DI175" s="287"/>
      <c r="DJ175" s="287"/>
      <c r="DK175" s="287"/>
      <c r="DL175" s="287"/>
      <c r="DM175" s="287"/>
      <c r="DN175" s="287"/>
      <c r="DO175" s="287"/>
      <c r="DP175" s="287"/>
    </row>
    <row r="176" spans="1:120" s="115" customFormat="1" ht="42.75" customHeight="1" x14ac:dyDescent="0.25">
      <c r="A176" s="13"/>
      <c r="B176" s="616"/>
      <c r="C176" s="616"/>
      <c r="D176" s="616"/>
      <c r="E176" s="366"/>
      <c r="F176" s="366"/>
      <c r="G176" s="605"/>
      <c r="H176" s="605"/>
      <c r="I176" s="605"/>
      <c r="J176" s="605"/>
      <c r="K176" s="605"/>
      <c r="L176" s="605"/>
      <c r="M176" s="605"/>
      <c r="N176" s="605"/>
      <c r="P176" s="3"/>
      <c r="BA176" s="287"/>
      <c r="BB176" s="287"/>
      <c r="BC176" s="287"/>
      <c r="BD176" s="287"/>
      <c r="BE176" s="287"/>
      <c r="BF176" s="287"/>
      <c r="BG176" s="287"/>
      <c r="BH176" s="287"/>
      <c r="BI176" s="287"/>
      <c r="BJ176" s="287"/>
      <c r="BK176" s="287"/>
      <c r="BL176" s="287"/>
      <c r="BM176" s="287"/>
      <c r="BN176" s="287"/>
      <c r="BO176" s="287"/>
      <c r="BP176" s="287"/>
      <c r="BQ176" s="287"/>
      <c r="BR176" s="287"/>
      <c r="BS176" s="287"/>
      <c r="BT176" s="287"/>
      <c r="BU176" s="287"/>
      <c r="BV176" s="287"/>
      <c r="BW176" s="287"/>
      <c r="BX176" s="287"/>
      <c r="BY176" s="287"/>
      <c r="BZ176" s="287"/>
      <c r="CA176" s="287"/>
      <c r="CB176" s="287"/>
      <c r="CC176" s="287"/>
      <c r="CD176" s="287"/>
      <c r="CE176" s="287"/>
      <c r="CF176" s="287"/>
      <c r="CG176" s="287"/>
      <c r="CH176" s="287"/>
      <c r="CI176" s="287"/>
      <c r="CJ176" s="287"/>
      <c r="CK176" s="287"/>
      <c r="CL176" s="287"/>
      <c r="CM176" s="287"/>
      <c r="CN176" s="287"/>
      <c r="CO176" s="287"/>
      <c r="CP176" s="287"/>
      <c r="CQ176" s="287"/>
      <c r="CR176" s="287"/>
      <c r="CS176" s="287"/>
      <c r="CT176" s="287"/>
      <c r="CU176" s="287"/>
      <c r="CV176" s="287"/>
      <c r="CW176" s="287"/>
      <c r="CX176" s="287"/>
      <c r="CY176" s="287"/>
      <c r="CZ176" s="287"/>
      <c r="DA176" s="287"/>
      <c r="DB176" s="287"/>
      <c r="DC176" s="287"/>
      <c r="DD176" s="287"/>
      <c r="DE176" s="287"/>
      <c r="DF176" s="287"/>
      <c r="DG176" s="287"/>
      <c r="DH176" s="287"/>
      <c r="DI176" s="287"/>
      <c r="DJ176" s="287"/>
      <c r="DK176" s="287"/>
      <c r="DL176" s="287"/>
      <c r="DM176" s="287"/>
      <c r="DN176" s="287"/>
      <c r="DO176" s="287"/>
      <c r="DP176" s="287"/>
    </row>
    <row r="177" spans="1:120" s="115" customFormat="1" ht="42.75" customHeight="1" x14ac:dyDescent="0.25">
      <c r="A177" s="13"/>
      <c r="B177" s="365"/>
      <c r="C177" s="360"/>
      <c r="D177" s="365"/>
      <c r="E177" s="366"/>
      <c r="F177" s="366"/>
      <c r="G177" s="605"/>
      <c r="H177" s="605"/>
      <c r="I177" s="605"/>
      <c r="J177" s="605"/>
      <c r="K177" s="605"/>
      <c r="L177" s="605"/>
      <c r="M177" s="605"/>
      <c r="N177" s="605"/>
      <c r="P177" s="3"/>
      <c r="BA177" s="287"/>
      <c r="BB177" s="287"/>
      <c r="BC177" s="287"/>
      <c r="BD177" s="287"/>
      <c r="BE177" s="287"/>
      <c r="BF177" s="287"/>
      <c r="BG177" s="287"/>
      <c r="BH177" s="287"/>
      <c r="BI177" s="287"/>
      <c r="BJ177" s="287"/>
      <c r="BK177" s="287"/>
      <c r="BL177" s="287"/>
      <c r="BM177" s="287"/>
      <c r="BN177" s="287"/>
      <c r="BO177" s="287"/>
      <c r="BP177" s="287"/>
      <c r="BQ177" s="287"/>
      <c r="BR177" s="287"/>
      <c r="BS177" s="287"/>
      <c r="BT177" s="287"/>
      <c r="BU177" s="287"/>
      <c r="BV177" s="287"/>
      <c r="BW177" s="287"/>
      <c r="BX177" s="287"/>
      <c r="BY177" s="287"/>
      <c r="BZ177" s="287"/>
      <c r="CA177" s="287"/>
      <c r="CB177" s="287"/>
      <c r="CC177" s="287"/>
      <c r="CD177" s="287"/>
      <c r="CE177" s="287"/>
      <c r="CF177" s="287"/>
      <c r="CG177" s="287"/>
      <c r="CH177" s="287"/>
      <c r="CI177" s="287"/>
      <c r="CJ177" s="287"/>
      <c r="CK177" s="287"/>
      <c r="CL177" s="287"/>
      <c r="CM177" s="287"/>
      <c r="CN177" s="287"/>
      <c r="CO177" s="287"/>
      <c r="CP177" s="287"/>
      <c r="CQ177" s="287"/>
      <c r="CR177" s="287"/>
      <c r="CS177" s="287"/>
      <c r="CT177" s="287"/>
      <c r="CU177" s="287"/>
      <c r="CV177" s="287"/>
      <c r="CW177" s="287"/>
      <c r="CX177" s="287"/>
      <c r="CY177" s="287"/>
      <c r="CZ177" s="287"/>
      <c r="DA177" s="287"/>
      <c r="DB177" s="287"/>
      <c r="DC177" s="287"/>
      <c r="DD177" s="287"/>
      <c r="DE177" s="287"/>
      <c r="DF177" s="287"/>
      <c r="DG177" s="287"/>
      <c r="DH177" s="287"/>
      <c r="DI177" s="287"/>
      <c r="DJ177" s="287"/>
      <c r="DK177" s="287"/>
      <c r="DL177" s="287"/>
      <c r="DM177" s="287"/>
      <c r="DN177" s="287"/>
      <c r="DO177" s="287"/>
      <c r="DP177" s="287"/>
    </row>
    <row r="178" spans="1:120" s="115" customFormat="1" ht="42.75" customHeight="1" x14ac:dyDescent="0.25">
      <c r="A178" s="13"/>
      <c r="B178" s="365"/>
      <c r="C178" s="360"/>
      <c r="D178" s="365"/>
      <c r="E178" s="366"/>
      <c r="F178" s="366"/>
      <c r="G178" s="605"/>
      <c r="H178" s="605"/>
      <c r="I178" s="605"/>
      <c r="J178" s="605"/>
      <c r="K178" s="605"/>
      <c r="L178" s="605"/>
      <c r="M178" s="605"/>
      <c r="N178" s="605"/>
      <c r="P178" s="3"/>
      <c r="BA178" s="287"/>
      <c r="BB178" s="287"/>
      <c r="BC178" s="287"/>
      <c r="BD178" s="287"/>
      <c r="BE178" s="287"/>
      <c r="BF178" s="287"/>
      <c r="BG178" s="287"/>
      <c r="BH178" s="287"/>
      <c r="BI178" s="287"/>
      <c r="BJ178" s="287"/>
      <c r="BK178" s="287"/>
      <c r="BL178" s="287"/>
      <c r="BM178" s="287"/>
      <c r="BN178" s="287"/>
      <c r="BO178" s="287"/>
      <c r="BP178" s="287"/>
      <c r="BQ178" s="287"/>
      <c r="BR178" s="287"/>
      <c r="BS178" s="287"/>
      <c r="BT178" s="287"/>
      <c r="BU178" s="287"/>
      <c r="BV178" s="287"/>
      <c r="BW178" s="287"/>
      <c r="BX178" s="287"/>
      <c r="BY178" s="287"/>
      <c r="BZ178" s="287"/>
      <c r="CA178" s="287"/>
      <c r="CB178" s="287"/>
      <c r="CC178" s="287"/>
      <c r="CD178" s="287"/>
      <c r="CE178" s="287"/>
      <c r="CF178" s="287"/>
      <c r="CG178" s="287"/>
      <c r="CH178" s="287"/>
      <c r="CI178" s="287"/>
      <c r="CJ178" s="287"/>
      <c r="CK178" s="287"/>
      <c r="CL178" s="287"/>
      <c r="CM178" s="287"/>
      <c r="CN178" s="287"/>
      <c r="CO178" s="287"/>
      <c r="CP178" s="287"/>
      <c r="CQ178" s="287"/>
      <c r="CR178" s="287"/>
      <c r="CS178" s="287"/>
      <c r="CT178" s="287"/>
      <c r="CU178" s="287"/>
      <c r="CV178" s="287"/>
      <c r="CW178" s="287"/>
      <c r="CX178" s="287"/>
      <c r="CY178" s="287"/>
      <c r="CZ178" s="287"/>
      <c r="DA178" s="287"/>
      <c r="DB178" s="287"/>
      <c r="DC178" s="287"/>
      <c r="DD178" s="287"/>
      <c r="DE178" s="287"/>
      <c r="DF178" s="287"/>
      <c r="DG178" s="287"/>
      <c r="DH178" s="287"/>
      <c r="DI178" s="287"/>
      <c r="DJ178" s="287"/>
      <c r="DK178" s="287"/>
      <c r="DL178" s="287"/>
      <c r="DM178" s="287"/>
      <c r="DN178" s="287"/>
      <c r="DO178" s="287"/>
      <c r="DP178" s="287"/>
    </row>
    <row r="179" spans="1:120" s="115" customFormat="1" ht="18" customHeight="1" x14ac:dyDescent="0.25">
      <c r="A179" s="13"/>
      <c r="B179" s="365"/>
      <c r="C179" s="360"/>
      <c r="D179" s="365"/>
      <c r="E179" s="366"/>
      <c r="F179" s="366"/>
      <c r="G179" s="366"/>
      <c r="H179" s="366"/>
      <c r="I179" s="366"/>
      <c r="J179" s="366"/>
      <c r="K179" s="366"/>
      <c r="L179" s="366"/>
      <c r="M179" s="366"/>
      <c r="N179" s="366"/>
      <c r="O179" s="56"/>
      <c r="P179" s="394"/>
      <c r="Q179" s="56"/>
      <c r="R179" s="56"/>
      <c r="S179" s="56"/>
      <c r="T179" s="56"/>
      <c r="U179" s="56"/>
      <c r="BA179" s="287"/>
      <c r="BB179" s="287"/>
      <c r="BC179" s="287"/>
      <c r="BD179" s="287"/>
      <c r="BE179" s="287"/>
      <c r="BF179" s="287"/>
      <c r="BG179" s="287"/>
      <c r="BH179" s="287"/>
      <c r="BI179" s="287"/>
      <c r="BJ179" s="287"/>
      <c r="BK179" s="287"/>
      <c r="BL179" s="287"/>
      <c r="BM179" s="287"/>
      <c r="BN179" s="287"/>
      <c r="BO179" s="287"/>
      <c r="BP179" s="287"/>
      <c r="BQ179" s="287"/>
      <c r="BR179" s="287"/>
      <c r="BS179" s="287"/>
      <c r="BT179" s="287"/>
      <c r="BU179" s="287"/>
      <c r="BV179" s="287"/>
      <c r="BW179" s="287"/>
      <c r="BX179" s="287"/>
      <c r="BY179" s="287"/>
      <c r="BZ179" s="287"/>
      <c r="CA179" s="287"/>
      <c r="CB179" s="287"/>
      <c r="CC179" s="287"/>
      <c r="CD179" s="287"/>
      <c r="CE179" s="287"/>
      <c r="CF179" s="287"/>
      <c r="CG179" s="287"/>
      <c r="CH179" s="287"/>
      <c r="CI179" s="287"/>
      <c r="CJ179" s="287"/>
      <c r="CK179" s="287"/>
      <c r="CL179" s="287"/>
      <c r="CM179" s="287"/>
      <c r="CN179" s="287"/>
      <c r="CO179" s="287"/>
      <c r="CP179" s="287"/>
      <c r="CQ179" s="287"/>
      <c r="CR179" s="287"/>
      <c r="CS179" s="287"/>
      <c r="CT179" s="287"/>
      <c r="CU179" s="287"/>
      <c r="CV179" s="287"/>
      <c r="CW179" s="287"/>
      <c r="CX179" s="287"/>
      <c r="CY179" s="287"/>
      <c r="CZ179" s="287"/>
      <c r="DA179" s="287"/>
      <c r="DB179" s="287"/>
      <c r="DC179" s="287"/>
      <c r="DD179" s="287"/>
      <c r="DE179" s="287"/>
      <c r="DF179" s="287"/>
      <c r="DG179" s="287"/>
      <c r="DH179" s="287"/>
      <c r="DI179" s="287"/>
      <c r="DJ179" s="287"/>
      <c r="DK179" s="287"/>
      <c r="DL179" s="287"/>
      <c r="DM179" s="287"/>
      <c r="DN179" s="287"/>
      <c r="DO179" s="287"/>
      <c r="DP179" s="287"/>
    </row>
    <row r="180" spans="1:120" s="115" customFormat="1" ht="18" hidden="1" customHeight="1" x14ac:dyDescent="0.25">
      <c r="A180" s="13"/>
      <c r="B180" s="121"/>
      <c r="C180" s="148" t="s">
        <v>33</v>
      </c>
      <c r="D180" s="122"/>
      <c r="E180" s="146"/>
      <c r="F180" s="146"/>
      <c r="G180" s="146"/>
      <c r="H180" s="146"/>
      <c r="I180" s="146"/>
      <c r="J180" s="146"/>
      <c r="K180" s="146"/>
      <c r="L180" s="146"/>
      <c r="M180" s="146"/>
      <c r="N180" s="147" t="str">
        <f>IF(COUNT(E180:M180),SUM(E180:M180),"")</f>
        <v/>
      </c>
      <c r="P180" s="3"/>
      <c r="BA180" s="287"/>
      <c r="BB180" s="287"/>
      <c r="BC180" s="287"/>
      <c r="BD180" s="287"/>
      <c r="BE180" s="287"/>
      <c r="BF180" s="287"/>
      <c r="BG180" s="287"/>
      <c r="BH180" s="287"/>
      <c r="BI180" s="287"/>
      <c r="BJ180" s="287"/>
      <c r="BK180" s="287"/>
      <c r="BL180" s="287"/>
      <c r="BM180" s="287"/>
      <c r="BN180" s="287"/>
      <c r="BO180" s="287"/>
      <c r="BP180" s="287"/>
      <c r="BQ180" s="287"/>
      <c r="BR180" s="287"/>
      <c r="BS180" s="287"/>
      <c r="BT180" s="287"/>
      <c r="BU180" s="287"/>
      <c r="BV180" s="287"/>
      <c r="BW180" s="287"/>
      <c r="BX180" s="287"/>
      <c r="BY180" s="287"/>
      <c r="BZ180" s="287"/>
      <c r="CA180" s="287"/>
      <c r="CB180" s="287"/>
      <c r="CC180" s="287"/>
      <c r="CD180" s="287"/>
      <c r="CE180" s="287"/>
      <c r="CF180" s="287"/>
      <c r="CG180" s="287"/>
      <c r="CH180" s="287"/>
      <c r="CI180" s="287"/>
      <c r="CJ180" s="287"/>
      <c r="CK180" s="287"/>
      <c r="CL180" s="287"/>
      <c r="CM180" s="287"/>
      <c r="CN180" s="287"/>
      <c r="CO180" s="287"/>
      <c r="CP180" s="287"/>
      <c r="CQ180" s="287"/>
      <c r="CR180" s="287"/>
      <c r="CS180" s="287"/>
      <c r="CT180" s="287"/>
      <c r="CU180" s="287"/>
      <c r="CV180" s="287"/>
      <c r="CW180" s="287"/>
      <c r="CX180" s="287"/>
      <c r="CY180" s="287"/>
      <c r="CZ180" s="287"/>
      <c r="DA180" s="287"/>
      <c r="DB180" s="287"/>
      <c r="DC180" s="287"/>
      <c r="DD180" s="287"/>
      <c r="DE180" s="287"/>
      <c r="DF180" s="287"/>
      <c r="DG180" s="287"/>
      <c r="DH180" s="287"/>
      <c r="DI180" s="287"/>
      <c r="DJ180" s="287"/>
      <c r="DK180" s="287"/>
      <c r="DL180" s="287"/>
      <c r="DM180" s="287"/>
      <c r="DN180" s="287"/>
      <c r="DO180" s="287"/>
      <c r="DP180" s="287"/>
    </row>
    <row r="181" spans="1:120" s="115" customFormat="1" ht="18" hidden="1" customHeight="1" x14ac:dyDescent="0.25">
      <c r="A181" s="13"/>
      <c r="B181" s="582" t="s">
        <v>17</v>
      </c>
      <c r="C181" s="583"/>
      <c r="D181" s="584"/>
      <c r="E181" s="144" t="str">
        <f>IF(OR(E177="",E178="",E179="",E180="",),"",SUM(E177:E180))</f>
        <v/>
      </c>
      <c r="F181" s="144" t="str">
        <f t="shared" ref="F181:M181" si="22">IF(OR(F177="",F178="",F179="",F180="",),"",SUM(F177:F180))</f>
        <v/>
      </c>
      <c r="G181" s="144" t="str">
        <f t="shared" si="22"/>
        <v/>
      </c>
      <c r="H181" s="144" t="str">
        <f t="shared" si="22"/>
        <v/>
      </c>
      <c r="I181" s="144" t="str">
        <f t="shared" si="22"/>
        <v/>
      </c>
      <c r="J181" s="144" t="str">
        <f t="shared" si="22"/>
        <v/>
      </c>
      <c r="K181" s="144" t="str">
        <f t="shared" si="22"/>
        <v/>
      </c>
      <c r="L181" s="144" t="str">
        <f t="shared" si="22"/>
        <v/>
      </c>
      <c r="M181" s="144" t="str">
        <f t="shared" si="22"/>
        <v/>
      </c>
      <c r="N181" s="30" t="str">
        <f>IF(COUNT(N176:N180),SUM(N176:N180),"")</f>
        <v/>
      </c>
      <c r="O181" s="366"/>
      <c r="P181" s="410"/>
      <c r="Q181" s="368"/>
      <c r="R181" s="368"/>
      <c r="S181" s="368"/>
      <c r="T181" s="368"/>
      <c r="U181" s="368"/>
      <c r="V181" s="368"/>
      <c r="W181" s="368"/>
      <c r="X181" s="368"/>
      <c r="Y181" s="368"/>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c r="BV181" s="287"/>
      <c r="BW181" s="287"/>
      <c r="BX181" s="287"/>
      <c r="BY181" s="287"/>
      <c r="BZ181" s="287"/>
      <c r="CA181" s="287"/>
      <c r="CB181" s="287"/>
      <c r="CC181" s="287"/>
      <c r="CD181" s="287"/>
      <c r="CE181" s="287"/>
      <c r="CF181" s="287"/>
      <c r="CG181" s="287"/>
      <c r="CH181" s="287"/>
      <c r="CI181" s="287"/>
      <c r="CJ181" s="287"/>
      <c r="CK181" s="287"/>
      <c r="CL181" s="287"/>
      <c r="CM181" s="287"/>
      <c r="CN181" s="287"/>
      <c r="CO181" s="287"/>
      <c r="CP181" s="287"/>
      <c r="CQ181" s="287"/>
      <c r="CR181" s="287"/>
      <c r="CS181" s="287"/>
      <c r="CT181" s="287"/>
      <c r="CU181" s="287"/>
      <c r="CV181" s="287"/>
      <c r="CW181" s="287"/>
      <c r="CX181" s="287"/>
      <c r="CY181" s="287"/>
      <c r="CZ181" s="287"/>
      <c r="DA181" s="287"/>
      <c r="DB181" s="287"/>
      <c r="DC181" s="287"/>
      <c r="DD181" s="287"/>
      <c r="DE181" s="287"/>
      <c r="DF181" s="287"/>
      <c r="DG181" s="287"/>
      <c r="DH181" s="287"/>
      <c r="DI181" s="287"/>
      <c r="DJ181" s="287"/>
      <c r="DK181" s="287"/>
      <c r="DL181" s="287"/>
      <c r="DM181" s="287"/>
      <c r="DN181" s="287"/>
      <c r="DO181" s="287"/>
      <c r="DP181" s="287"/>
    </row>
    <row r="182" spans="1:120" s="115" customFormat="1" ht="31.5" hidden="1" customHeight="1" x14ac:dyDescent="0.25">
      <c r="A182" s="13"/>
      <c r="B182" s="727" t="s">
        <v>36</v>
      </c>
      <c r="C182" s="728"/>
      <c r="D182" s="728"/>
      <c r="E182" s="145"/>
      <c r="F182" s="145"/>
      <c r="G182" s="145"/>
      <c r="H182" s="145"/>
      <c r="I182" s="145"/>
      <c r="J182" s="145"/>
      <c r="K182" s="145"/>
      <c r="L182" s="145"/>
      <c r="M182" s="145"/>
      <c r="N182" s="149"/>
      <c r="P182" s="3"/>
      <c r="BA182" s="287"/>
      <c r="BB182" s="287"/>
      <c r="BC182" s="287"/>
      <c r="BD182" s="287"/>
      <c r="BE182" s="287"/>
      <c r="BF182" s="287"/>
      <c r="BG182" s="287"/>
      <c r="BH182" s="287"/>
      <c r="BI182" s="287"/>
      <c r="BJ182" s="287"/>
      <c r="BK182" s="287"/>
      <c r="BL182" s="287"/>
      <c r="BM182" s="287"/>
      <c r="BN182" s="287"/>
      <c r="BO182" s="287"/>
      <c r="BP182" s="287"/>
      <c r="BQ182" s="287"/>
      <c r="BR182" s="287"/>
      <c r="BS182" s="287"/>
      <c r="BT182" s="287"/>
      <c r="BU182" s="287"/>
      <c r="BV182" s="287"/>
      <c r="BW182" s="287"/>
      <c r="BX182" s="287"/>
      <c r="BY182" s="287"/>
      <c r="BZ182" s="287"/>
      <c r="CA182" s="287"/>
      <c r="CB182" s="287"/>
      <c r="CC182" s="287"/>
      <c r="CD182" s="287"/>
      <c r="CE182" s="287"/>
      <c r="CF182" s="287"/>
      <c r="CG182" s="287"/>
      <c r="CH182" s="287"/>
      <c r="CI182" s="287"/>
      <c r="CJ182" s="287"/>
      <c r="CK182" s="287"/>
      <c r="CL182" s="287"/>
      <c r="CM182" s="287"/>
      <c r="CN182" s="287"/>
      <c r="CO182" s="287"/>
      <c r="CP182" s="287"/>
      <c r="CQ182" s="287"/>
      <c r="CR182" s="287"/>
      <c r="CS182" s="287"/>
      <c r="CT182" s="287"/>
      <c r="CU182" s="287"/>
      <c r="CV182" s="287"/>
      <c r="CW182" s="287"/>
      <c r="CX182" s="287"/>
      <c r="CY182" s="287"/>
      <c r="CZ182" s="287"/>
      <c r="DA182" s="287"/>
      <c r="DB182" s="287"/>
      <c r="DC182" s="287"/>
      <c r="DD182" s="287"/>
      <c r="DE182" s="287"/>
      <c r="DF182" s="287"/>
      <c r="DG182" s="287"/>
      <c r="DH182" s="287"/>
      <c r="DI182" s="287"/>
      <c r="DJ182" s="287"/>
      <c r="DK182" s="287"/>
      <c r="DL182" s="287"/>
      <c r="DM182" s="287"/>
      <c r="DN182" s="287"/>
      <c r="DO182" s="287"/>
      <c r="DP182" s="287"/>
    </row>
    <row r="183" spans="1:120" s="115" customFormat="1" ht="18" hidden="1" customHeight="1" x14ac:dyDescent="0.25">
      <c r="A183" s="13"/>
      <c r="B183" s="116"/>
      <c r="C183" s="129" t="s">
        <v>30</v>
      </c>
      <c r="D183" s="114"/>
      <c r="E183" s="142"/>
      <c r="F183" s="142"/>
      <c r="G183" s="142"/>
      <c r="H183" s="142"/>
      <c r="I183" s="142"/>
      <c r="J183" s="142"/>
      <c r="K183" s="142"/>
      <c r="L183" s="142"/>
      <c r="M183" s="142"/>
      <c r="N183" s="143" t="str">
        <f>IF(COUNT(E183:M183),SUM(E183:M183),"")</f>
        <v/>
      </c>
      <c r="P183" s="3"/>
      <c r="BA183" s="287"/>
      <c r="BB183" s="287"/>
      <c r="BC183" s="287"/>
      <c r="BD183" s="287"/>
      <c r="BE183" s="287"/>
      <c r="BF183" s="287"/>
      <c r="BG183" s="287"/>
      <c r="BH183" s="287"/>
      <c r="BI183" s="287"/>
      <c r="BJ183" s="287"/>
      <c r="BK183" s="287"/>
      <c r="BL183" s="287"/>
      <c r="BM183" s="287"/>
      <c r="BN183" s="287"/>
      <c r="BO183" s="287"/>
      <c r="BP183" s="287"/>
      <c r="BQ183" s="287"/>
      <c r="BR183" s="287"/>
      <c r="BS183" s="287"/>
      <c r="BT183" s="287"/>
      <c r="BU183" s="287"/>
      <c r="BV183" s="287"/>
      <c r="BW183" s="287"/>
      <c r="BX183" s="287"/>
      <c r="BY183" s="287"/>
      <c r="BZ183" s="287"/>
      <c r="CA183" s="287"/>
      <c r="CB183" s="287"/>
      <c r="CC183" s="287"/>
      <c r="CD183" s="287"/>
      <c r="CE183" s="287"/>
      <c r="CF183" s="287"/>
      <c r="CG183" s="287"/>
      <c r="CH183" s="287"/>
      <c r="CI183" s="287"/>
      <c r="CJ183" s="287"/>
      <c r="CK183" s="287"/>
      <c r="CL183" s="287"/>
      <c r="CM183" s="287"/>
      <c r="CN183" s="287"/>
      <c r="CO183" s="287"/>
      <c r="CP183" s="287"/>
      <c r="CQ183" s="287"/>
      <c r="CR183" s="287"/>
      <c r="CS183" s="287"/>
      <c r="CT183" s="287"/>
      <c r="CU183" s="287"/>
      <c r="CV183" s="287"/>
      <c r="CW183" s="287"/>
      <c r="CX183" s="287"/>
      <c r="CY183" s="287"/>
      <c r="CZ183" s="287"/>
      <c r="DA183" s="287"/>
      <c r="DB183" s="287"/>
      <c r="DC183" s="287"/>
      <c r="DD183" s="287"/>
      <c r="DE183" s="287"/>
      <c r="DF183" s="287"/>
      <c r="DG183" s="287"/>
      <c r="DH183" s="287"/>
      <c r="DI183" s="287"/>
      <c r="DJ183" s="287"/>
      <c r="DK183" s="287"/>
      <c r="DL183" s="287"/>
      <c r="DM183" s="287"/>
      <c r="DN183" s="287"/>
      <c r="DO183" s="287"/>
      <c r="DP183" s="287"/>
    </row>
    <row r="184" spans="1:120" s="115" customFormat="1" ht="18" hidden="1" customHeight="1" x14ac:dyDescent="0.25">
      <c r="A184" s="13"/>
      <c r="B184" s="121"/>
      <c r="C184" s="148" t="s">
        <v>31</v>
      </c>
      <c r="D184" s="122"/>
      <c r="E184" s="146"/>
      <c r="F184" s="146"/>
      <c r="G184" s="146"/>
      <c r="H184" s="146"/>
      <c r="I184" s="146"/>
      <c r="J184" s="146"/>
      <c r="K184" s="146"/>
      <c r="L184" s="146"/>
      <c r="M184" s="146"/>
      <c r="N184" s="147" t="str">
        <f>IF(COUNT(E184:M184),SUM(E184:M184),"")</f>
        <v/>
      </c>
      <c r="P184" s="3"/>
      <c r="BA184" s="287"/>
      <c r="BB184" s="287"/>
      <c r="BC184" s="287"/>
      <c r="BD184" s="287"/>
      <c r="BE184" s="287"/>
      <c r="BF184" s="287"/>
      <c r="BG184" s="287"/>
      <c r="BH184" s="287"/>
      <c r="BI184" s="287"/>
      <c r="BJ184" s="287"/>
      <c r="BK184" s="287"/>
      <c r="BL184" s="287"/>
      <c r="BM184" s="287"/>
      <c r="BN184" s="287"/>
      <c r="BO184" s="287"/>
      <c r="BP184" s="287"/>
      <c r="BQ184" s="287"/>
      <c r="BR184" s="287"/>
      <c r="BS184" s="287"/>
      <c r="BT184" s="287"/>
      <c r="BU184" s="287"/>
      <c r="BV184" s="287"/>
      <c r="BW184" s="287"/>
      <c r="BX184" s="287"/>
      <c r="BY184" s="287"/>
      <c r="BZ184" s="287"/>
      <c r="CA184" s="287"/>
      <c r="CB184" s="287"/>
      <c r="CC184" s="287"/>
      <c r="CD184" s="287"/>
      <c r="CE184" s="287"/>
      <c r="CF184" s="287"/>
      <c r="CG184" s="287"/>
      <c r="CH184" s="287"/>
      <c r="CI184" s="287"/>
      <c r="CJ184" s="287"/>
      <c r="CK184" s="287"/>
      <c r="CL184" s="287"/>
      <c r="CM184" s="287"/>
      <c r="CN184" s="287"/>
      <c r="CO184" s="287"/>
      <c r="CP184" s="287"/>
      <c r="CQ184" s="287"/>
      <c r="CR184" s="287"/>
      <c r="CS184" s="287"/>
      <c r="CT184" s="287"/>
      <c r="CU184" s="287"/>
      <c r="CV184" s="287"/>
      <c r="CW184" s="287"/>
      <c r="CX184" s="287"/>
      <c r="CY184" s="287"/>
      <c r="CZ184" s="287"/>
      <c r="DA184" s="287"/>
      <c r="DB184" s="287"/>
      <c r="DC184" s="287"/>
      <c r="DD184" s="287"/>
      <c r="DE184" s="287"/>
      <c r="DF184" s="287"/>
      <c r="DG184" s="287"/>
      <c r="DH184" s="287"/>
      <c r="DI184" s="287"/>
      <c r="DJ184" s="287"/>
      <c r="DK184" s="287"/>
      <c r="DL184" s="287"/>
      <c r="DM184" s="287"/>
      <c r="DN184" s="287"/>
      <c r="DO184" s="287"/>
      <c r="DP184" s="287"/>
    </row>
    <row r="185" spans="1:120" s="115" customFormat="1" ht="18" hidden="1" customHeight="1" x14ac:dyDescent="0.25">
      <c r="A185" s="13"/>
      <c r="B185" s="116"/>
      <c r="C185" s="129" t="s">
        <v>32</v>
      </c>
      <c r="D185" s="114"/>
      <c r="E185" s="138"/>
      <c r="F185" s="138"/>
      <c r="G185" s="138"/>
      <c r="H185" s="138"/>
      <c r="I185" s="138"/>
      <c r="J185" s="138"/>
      <c r="K185" s="138"/>
      <c r="L185" s="138"/>
      <c r="M185" s="138"/>
      <c r="N185" s="139" t="str">
        <f>IF(COUNT(E185:M185),SUM(E185:M185),"")</f>
        <v/>
      </c>
      <c r="P185" s="3"/>
      <c r="BA185" s="287"/>
      <c r="BB185" s="287"/>
      <c r="BC185" s="287"/>
      <c r="BD185" s="287"/>
      <c r="BE185" s="287"/>
      <c r="BF185" s="287"/>
      <c r="BG185" s="287"/>
      <c r="BH185" s="287"/>
      <c r="BI185" s="287"/>
      <c r="BJ185" s="287"/>
      <c r="BK185" s="287"/>
      <c r="BL185" s="287"/>
      <c r="BM185" s="287"/>
      <c r="BN185" s="287"/>
      <c r="BO185" s="287"/>
      <c r="BP185" s="287"/>
      <c r="BQ185" s="287"/>
      <c r="BR185" s="287"/>
      <c r="BS185" s="287"/>
      <c r="BT185" s="287"/>
      <c r="BU185" s="287"/>
      <c r="BV185" s="287"/>
      <c r="BW185" s="287"/>
      <c r="BX185" s="287"/>
      <c r="BY185" s="287"/>
      <c r="BZ185" s="287"/>
      <c r="CA185" s="287"/>
      <c r="CB185" s="287"/>
      <c r="CC185" s="287"/>
      <c r="CD185" s="287"/>
      <c r="CE185" s="287"/>
      <c r="CF185" s="287"/>
      <c r="CG185" s="287"/>
      <c r="CH185" s="287"/>
      <c r="CI185" s="287"/>
      <c r="CJ185" s="287"/>
      <c r="CK185" s="287"/>
      <c r="CL185" s="287"/>
      <c r="CM185" s="287"/>
      <c r="CN185" s="287"/>
      <c r="CO185" s="287"/>
      <c r="CP185" s="287"/>
      <c r="CQ185" s="287"/>
      <c r="CR185" s="287"/>
      <c r="CS185" s="287"/>
      <c r="CT185" s="287"/>
      <c r="CU185" s="287"/>
      <c r="CV185" s="287"/>
      <c r="CW185" s="287"/>
      <c r="CX185" s="287"/>
      <c r="CY185" s="287"/>
      <c r="CZ185" s="287"/>
      <c r="DA185" s="287"/>
      <c r="DB185" s="287"/>
      <c r="DC185" s="287"/>
      <c r="DD185" s="287"/>
      <c r="DE185" s="287"/>
      <c r="DF185" s="287"/>
      <c r="DG185" s="287"/>
      <c r="DH185" s="287"/>
      <c r="DI185" s="287"/>
      <c r="DJ185" s="287"/>
      <c r="DK185" s="287"/>
      <c r="DL185" s="287"/>
      <c r="DM185" s="287"/>
      <c r="DN185" s="287"/>
      <c r="DO185" s="287"/>
      <c r="DP185" s="287"/>
    </row>
    <row r="186" spans="1:120" s="115" customFormat="1" ht="18" hidden="1" customHeight="1" x14ac:dyDescent="0.25">
      <c r="A186" s="13"/>
      <c r="B186" s="121"/>
      <c r="C186" s="148" t="s">
        <v>33</v>
      </c>
      <c r="D186" s="122"/>
      <c r="E186" s="146"/>
      <c r="F186" s="146"/>
      <c r="G186" s="146"/>
      <c r="H186" s="146"/>
      <c r="I186" s="146"/>
      <c r="J186" s="146"/>
      <c r="K186" s="146"/>
      <c r="L186" s="146"/>
      <c r="M186" s="146"/>
      <c r="N186" s="147" t="str">
        <f>IF(COUNT(E186:M186),SUM(E186:M186),"")</f>
        <v/>
      </c>
      <c r="P186" s="3"/>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c r="BV186" s="287"/>
      <c r="BW186" s="287"/>
      <c r="BX186" s="287"/>
      <c r="BY186" s="287"/>
      <c r="BZ186" s="287"/>
      <c r="CA186" s="287"/>
      <c r="CB186" s="287"/>
      <c r="CC186" s="287"/>
      <c r="CD186" s="287"/>
      <c r="CE186" s="287"/>
      <c r="CF186" s="287"/>
      <c r="CG186" s="287"/>
      <c r="CH186" s="287"/>
      <c r="CI186" s="287"/>
      <c r="CJ186" s="287"/>
      <c r="CK186" s="287"/>
      <c r="CL186" s="287"/>
      <c r="CM186" s="287"/>
      <c r="CN186" s="287"/>
      <c r="CO186" s="287"/>
      <c r="CP186" s="287"/>
      <c r="CQ186" s="287"/>
      <c r="CR186" s="287"/>
      <c r="CS186" s="287"/>
      <c r="CT186" s="287"/>
      <c r="CU186" s="287"/>
      <c r="CV186" s="287"/>
      <c r="CW186" s="287"/>
      <c r="CX186" s="287"/>
      <c r="CY186" s="287"/>
      <c r="CZ186" s="287"/>
      <c r="DA186" s="287"/>
      <c r="DB186" s="287"/>
      <c r="DC186" s="287"/>
      <c r="DD186" s="287"/>
      <c r="DE186" s="287"/>
      <c r="DF186" s="287"/>
      <c r="DG186" s="287"/>
      <c r="DH186" s="287"/>
      <c r="DI186" s="287"/>
      <c r="DJ186" s="287"/>
      <c r="DK186" s="287"/>
      <c r="DL186" s="287"/>
      <c r="DM186" s="287"/>
      <c r="DN186" s="287"/>
      <c r="DO186" s="287"/>
      <c r="DP186" s="287"/>
    </row>
    <row r="187" spans="1:120" s="115" customFormat="1" ht="18" hidden="1" customHeight="1" x14ac:dyDescent="0.25">
      <c r="A187" s="13"/>
      <c r="B187" s="582" t="s">
        <v>18</v>
      </c>
      <c r="C187" s="583"/>
      <c r="D187" s="584"/>
      <c r="E187" s="144" t="str">
        <f>IF(OR(E183="",E184="",E185="",E186="",),"",SUM(E183:E186))</f>
        <v/>
      </c>
      <c r="F187" s="144" t="str">
        <f t="shared" ref="F187:M187" si="23">IF(OR(F183="",F184="",F185="",F186="",),"",SUM(F183:F186))</f>
        <v/>
      </c>
      <c r="G187" s="144" t="str">
        <f t="shared" si="23"/>
        <v/>
      </c>
      <c r="H187" s="144" t="str">
        <f t="shared" si="23"/>
        <v/>
      </c>
      <c r="I187" s="144" t="str">
        <f t="shared" si="23"/>
        <v/>
      </c>
      <c r="J187" s="144" t="str">
        <f t="shared" si="23"/>
        <v/>
      </c>
      <c r="K187" s="144" t="str">
        <f t="shared" si="23"/>
        <v/>
      </c>
      <c r="L187" s="144" t="str">
        <f t="shared" si="23"/>
        <v/>
      </c>
      <c r="M187" s="144" t="str">
        <f t="shared" si="23"/>
        <v/>
      </c>
      <c r="N187" s="30" t="str">
        <f>IF(COUNT(N183:N186),SUM(N183:N186),"")</f>
        <v/>
      </c>
      <c r="O187" s="366"/>
      <c r="P187" s="411"/>
      <c r="Q187" s="369"/>
      <c r="R187" s="369"/>
      <c r="S187" s="369"/>
      <c r="T187" s="369"/>
      <c r="U187" s="369"/>
      <c r="V187" s="369"/>
      <c r="W187" s="369"/>
      <c r="X187" s="369"/>
      <c r="Y187" s="369"/>
      <c r="BA187" s="287"/>
      <c r="BB187" s="287"/>
      <c r="BC187" s="287"/>
      <c r="BD187" s="287"/>
      <c r="BE187" s="287"/>
      <c r="BF187" s="287"/>
      <c r="BG187" s="287"/>
      <c r="BH187" s="287"/>
      <c r="BI187" s="287"/>
      <c r="BJ187" s="287"/>
      <c r="BK187" s="287"/>
      <c r="BL187" s="287"/>
      <c r="BM187" s="287"/>
      <c r="BN187" s="287"/>
      <c r="BO187" s="287"/>
      <c r="BP187" s="287"/>
      <c r="BQ187" s="287"/>
      <c r="BR187" s="287"/>
      <c r="BS187" s="287"/>
      <c r="BT187" s="287"/>
      <c r="BU187" s="287"/>
      <c r="BV187" s="287"/>
      <c r="BW187" s="287"/>
      <c r="BX187" s="287"/>
      <c r="BY187" s="287"/>
      <c r="BZ187" s="287"/>
      <c r="CA187" s="287"/>
      <c r="CB187" s="287"/>
      <c r="CC187" s="287"/>
      <c r="CD187" s="287"/>
      <c r="CE187" s="287"/>
      <c r="CF187" s="287"/>
      <c r="CG187" s="287"/>
      <c r="CH187" s="287"/>
      <c r="CI187" s="287"/>
      <c r="CJ187" s="287"/>
      <c r="CK187" s="287"/>
      <c r="CL187" s="287"/>
      <c r="CM187" s="287"/>
      <c r="CN187" s="287"/>
      <c r="CO187" s="287"/>
      <c r="CP187" s="287"/>
      <c r="CQ187" s="287"/>
      <c r="CR187" s="287"/>
      <c r="CS187" s="287"/>
      <c r="CT187" s="287"/>
      <c r="CU187" s="287"/>
      <c r="CV187" s="287"/>
      <c r="CW187" s="287"/>
      <c r="CX187" s="287"/>
      <c r="CY187" s="287"/>
      <c r="CZ187" s="287"/>
      <c r="DA187" s="287"/>
      <c r="DB187" s="287"/>
      <c r="DC187" s="287"/>
      <c r="DD187" s="287"/>
      <c r="DE187" s="287"/>
      <c r="DF187" s="287"/>
      <c r="DG187" s="287"/>
      <c r="DH187" s="287"/>
      <c r="DI187" s="287"/>
      <c r="DJ187" s="287"/>
      <c r="DK187" s="287"/>
      <c r="DL187" s="287"/>
      <c r="DM187" s="287"/>
      <c r="DN187" s="287"/>
      <c r="DO187" s="287"/>
      <c r="DP187" s="287"/>
    </row>
    <row r="188" spans="1:120" s="115" customFormat="1" ht="31.5" hidden="1" customHeight="1" x14ac:dyDescent="0.25">
      <c r="A188" s="13"/>
      <c r="B188" s="727" t="s">
        <v>37</v>
      </c>
      <c r="C188" s="728"/>
      <c r="D188" s="728"/>
      <c r="E188" s="145"/>
      <c r="F188" s="145"/>
      <c r="G188" s="145"/>
      <c r="H188" s="145"/>
      <c r="I188" s="145"/>
      <c r="J188" s="145"/>
      <c r="K188" s="145"/>
      <c r="L188" s="145"/>
      <c r="M188" s="145"/>
      <c r="N188" s="152"/>
      <c r="P188" s="3"/>
      <c r="BA188" s="287"/>
      <c r="BB188" s="287"/>
      <c r="BC188" s="287"/>
      <c r="BD188" s="287"/>
      <c r="BE188" s="287"/>
      <c r="BF188" s="287"/>
      <c r="BG188" s="287"/>
      <c r="BH188" s="287"/>
      <c r="BI188" s="287"/>
      <c r="BJ188" s="287"/>
      <c r="BK188" s="287"/>
      <c r="BL188" s="287"/>
      <c r="BM188" s="287"/>
      <c r="BN188" s="287"/>
      <c r="BO188" s="287"/>
      <c r="BP188" s="287"/>
      <c r="BQ188" s="287"/>
      <c r="BR188" s="287"/>
      <c r="BS188" s="287"/>
      <c r="BT188" s="287"/>
      <c r="BU188" s="287"/>
      <c r="BV188" s="287"/>
      <c r="BW188" s="287"/>
      <c r="BX188" s="287"/>
      <c r="BY188" s="287"/>
      <c r="BZ188" s="287"/>
      <c r="CA188" s="287"/>
      <c r="CB188" s="287"/>
      <c r="CC188" s="287"/>
      <c r="CD188" s="287"/>
      <c r="CE188" s="287"/>
      <c r="CF188" s="287"/>
      <c r="CG188" s="287"/>
      <c r="CH188" s="287"/>
      <c r="CI188" s="287"/>
      <c r="CJ188" s="287"/>
      <c r="CK188" s="287"/>
      <c r="CL188" s="287"/>
      <c r="CM188" s="287"/>
      <c r="CN188" s="287"/>
      <c r="CO188" s="287"/>
      <c r="CP188" s="287"/>
      <c r="CQ188" s="287"/>
      <c r="CR188" s="287"/>
      <c r="CS188" s="287"/>
      <c r="CT188" s="287"/>
      <c r="CU188" s="287"/>
      <c r="CV188" s="287"/>
      <c r="CW188" s="287"/>
      <c r="CX188" s="287"/>
      <c r="CY188" s="287"/>
      <c r="CZ188" s="287"/>
      <c r="DA188" s="287"/>
      <c r="DB188" s="287"/>
      <c r="DC188" s="287"/>
      <c r="DD188" s="287"/>
      <c r="DE188" s="287"/>
      <c r="DF188" s="287"/>
      <c r="DG188" s="287"/>
      <c r="DH188" s="287"/>
      <c r="DI188" s="287"/>
      <c r="DJ188" s="287"/>
      <c r="DK188" s="287"/>
      <c r="DL188" s="287"/>
      <c r="DM188" s="287"/>
      <c r="DN188" s="287"/>
      <c r="DO188" s="287"/>
      <c r="DP188" s="287"/>
    </row>
    <row r="189" spans="1:120" s="115" customFormat="1" ht="18" hidden="1" customHeight="1" x14ac:dyDescent="0.25">
      <c r="A189" s="13"/>
      <c r="B189" s="116"/>
      <c r="C189" s="129" t="s">
        <v>30</v>
      </c>
      <c r="D189" s="114"/>
      <c r="E189" s="142"/>
      <c r="F189" s="142"/>
      <c r="G189" s="142"/>
      <c r="H189" s="142"/>
      <c r="I189" s="142"/>
      <c r="J189" s="142"/>
      <c r="K189" s="142"/>
      <c r="L189" s="142"/>
      <c r="M189" s="142"/>
      <c r="N189" s="143" t="str">
        <f>IF(COUNT(E189:M189),SUM(E189:M189),"")</f>
        <v/>
      </c>
      <c r="P189" s="3"/>
      <c r="BA189" s="287"/>
      <c r="BB189" s="287"/>
      <c r="BC189" s="287"/>
      <c r="BD189" s="287"/>
      <c r="BE189" s="287"/>
      <c r="BF189" s="287"/>
      <c r="BG189" s="287"/>
      <c r="BH189" s="287"/>
      <c r="BI189" s="287"/>
      <c r="BJ189" s="287"/>
      <c r="BK189" s="287"/>
      <c r="BL189" s="287"/>
      <c r="BM189" s="287"/>
      <c r="BN189" s="287"/>
      <c r="BO189" s="287"/>
      <c r="BP189" s="287"/>
      <c r="BQ189" s="287"/>
      <c r="BR189" s="287"/>
      <c r="BS189" s="287"/>
      <c r="BT189" s="287"/>
      <c r="BU189" s="287"/>
      <c r="BV189" s="287"/>
      <c r="BW189" s="287"/>
      <c r="BX189" s="287"/>
      <c r="BY189" s="287"/>
      <c r="BZ189" s="287"/>
      <c r="CA189" s="287"/>
      <c r="CB189" s="287"/>
      <c r="CC189" s="287"/>
      <c r="CD189" s="287"/>
      <c r="CE189" s="287"/>
      <c r="CF189" s="287"/>
      <c r="CG189" s="287"/>
      <c r="CH189" s="287"/>
      <c r="CI189" s="287"/>
      <c r="CJ189" s="287"/>
      <c r="CK189" s="287"/>
      <c r="CL189" s="287"/>
      <c r="CM189" s="287"/>
      <c r="CN189" s="287"/>
      <c r="CO189" s="287"/>
      <c r="CP189" s="287"/>
      <c r="CQ189" s="287"/>
      <c r="CR189" s="287"/>
      <c r="CS189" s="287"/>
      <c r="CT189" s="287"/>
      <c r="CU189" s="287"/>
      <c r="CV189" s="287"/>
      <c r="CW189" s="287"/>
      <c r="CX189" s="287"/>
      <c r="CY189" s="287"/>
      <c r="CZ189" s="287"/>
      <c r="DA189" s="287"/>
      <c r="DB189" s="287"/>
      <c r="DC189" s="287"/>
      <c r="DD189" s="287"/>
      <c r="DE189" s="287"/>
      <c r="DF189" s="287"/>
      <c r="DG189" s="287"/>
      <c r="DH189" s="287"/>
      <c r="DI189" s="287"/>
      <c r="DJ189" s="287"/>
      <c r="DK189" s="287"/>
      <c r="DL189" s="287"/>
      <c r="DM189" s="287"/>
      <c r="DN189" s="287"/>
      <c r="DO189" s="287"/>
      <c r="DP189" s="287"/>
    </row>
    <row r="190" spans="1:120" s="115" customFormat="1" ht="28.5" hidden="1" customHeight="1" x14ac:dyDescent="0.25">
      <c r="A190" s="13"/>
      <c r="B190" s="121"/>
      <c r="C190" s="148" t="s">
        <v>31</v>
      </c>
      <c r="D190" s="122"/>
      <c r="E190" s="146"/>
      <c r="F190" s="146"/>
      <c r="G190" s="146"/>
      <c r="H190" s="146"/>
      <c r="I190" s="146"/>
      <c r="J190" s="146"/>
      <c r="K190" s="146"/>
      <c r="L190" s="146"/>
      <c r="M190" s="146"/>
      <c r="N190" s="147" t="str">
        <f>IF(COUNT(E190:M190),SUM(E190:M190),"")</f>
        <v/>
      </c>
      <c r="P190" s="3"/>
      <c r="BA190" s="287"/>
      <c r="BB190" s="287"/>
      <c r="BC190" s="287"/>
      <c r="BD190" s="287"/>
      <c r="BE190" s="287"/>
      <c r="BF190" s="287"/>
      <c r="BG190" s="287"/>
      <c r="BH190" s="287"/>
      <c r="BI190" s="287"/>
      <c r="BJ190" s="287"/>
      <c r="BK190" s="287"/>
      <c r="BL190" s="287"/>
      <c r="BM190" s="287"/>
      <c r="BN190" s="287"/>
      <c r="BO190" s="287"/>
      <c r="BP190" s="287"/>
      <c r="BQ190" s="287"/>
      <c r="BR190" s="287"/>
      <c r="BS190" s="287"/>
      <c r="BT190" s="287"/>
      <c r="BU190" s="287"/>
      <c r="BV190" s="287"/>
      <c r="BW190" s="287"/>
      <c r="BX190" s="287"/>
      <c r="BY190" s="287"/>
      <c r="BZ190" s="287"/>
      <c r="CA190" s="287"/>
      <c r="CB190" s="287"/>
      <c r="CC190" s="287"/>
      <c r="CD190" s="287"/>
      <c r="CE190" s="287"/>
      <c r="CF190" s="287"/>
      <c r="CG190" s="287"/>
      <c r="CH190" s="287"/>
      <c r="CI190" s="287"/>
      <c r="CJ190" s="287"/>
      <c r="CK190" s="287"/>
      <c r="CL190" s="287"/>
      <c r="CM190" s="287"/>
      <c r="CN190" s="287"/>
      <c r="CO190" s="287"/>
      <c r="CP190" s="287"/>
      <c r="CQ190" s="287"/>
      <c r="CR190" s="287"/>
      <c r="CS190" s="287"/>
      <c r="CT190" s="287"/>
      <c r="CU190" s="287"/>
      <c r="CV190" s="287"/>
      <c r="CW190" s="287"/>
      <c r="CX190" s="287"/>
      <c r="CY190" s="287"/>
      <c r="CZ190" s="287"/>
      <c r="DA190" s="287"/>
      <c r="DB190" s="287"/>
      <c r="DC190" s="287"/>
      <c r="DD190" s="287"/>
      <c r="DE190" s="287"/>
      <c r="DF190" s="287"/>
      <c r="DG190" s="287"/>
      <c r="DH190" s="287"/>
      <c r="DI190" s="287"/>
      <c r="DJ190" s="287"/>
      <c r="DK190" s="287"/>
      <c r="DL190" s="287"/>
      <c r="DM190" s="287"/>
      <c r="DN190" s="287"/>
      <c r="DO190" s="287"/>
      <c r="DP190" s="287"/>
    </row>
    <row r="191" spans="1:120" s="115" customFormat="1" ht="30.75" hidden="1" customHeight="1" x14ac:dyDescent="0.25">
      <c r="A191" s="13"/>
      <c r="B191" s="116"/>
      <c r="C191" s="129" t="s">
        <v>32</v>
      </c>
      <c r="D191" s="114"/>
      <c r="E191" s="138"/>
      <c r="F191" s="138"/>
      <c r="G191" s="138"/>
      <c r="H191" s="138"/>
      <c r="I191" s="138"/>
      <c r="J191" s="138"/>
      <c r="K191" s="138"/>
      <c r="L191" s="138"/>
      <c r="M191" s="138"/>
      <c r="N191" s="139" t="str">
        <f>IF(COUNT(E191:M191),SUM(E191:M191),"")</f>
        <v/>
      </c>
      <c r="P191" s="3"/>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c r="BV191" s="287"/>
      <c r="BW191" s="287"/>
      <c r="BX191" s="287"/>
      <c r="BY191" s="287"/>
      <c r="BZ191" s="287"/>
      <c r="CA191" s="287"/>
      <c r="CB191" s="287"/>
      <c r="CC191" s="287"/>
      <c r="CD191" s="287"/>
      <c r="CE191" s="287"/>
      <c r="CF191" s="287"/>
      <c r="CG191" s="287"/>
      <c r="CH191" s="287"/>
      <c r="CI191" s="287"/>
      <c r="CJ191" s="287"/>
      <c r="CK191" s="287"/>
      <c r="CL191" s="287"/>
      <c r="CM191" s="287"/>
      <c r="CN191" s="287"/>
      <c r="CO191" s="287"/>
      <c r="CP191" s="287"/>
      <c r="CQ191" s="287"/>
      <c r="CR191" s="287"/>
      <c r="CS191" s="287"/>
      <c r="CT191" s="287"/>
      <c r="CU191" s="287"/>
      <c r="CV191" s="287"/>
      <c r="CW191" s="287"/>
      <c r="CX191" s="287"/>
      <c r="CY191" s="287"/>
      <c r="CZ191" s="287"/>
      <c r="DA191" s="287"/>
      <c r="DB191" s="287"/>
      <c r="DC191" s="287"/>
      <c r="DD191" s="287"/>
      <c r="DE191" s="287"/>
      <c r="DF191" s="287"/>
      <c r="DG191" s="287"/>
      <c r="DH191" s="287"/>
      <c r="DI191" s="287"/>
      <c r="DJ191" s="287"/>
      <c r="DK191" s="287"/>
      <c r="DL191" s="287"/>
      <c r="DM191" s="287"/>
      <c r="DN191" s="287"/>
      <c r="DO191" s="287"/>
      <c r="DP191" s="287"/>
    </row>
    <row r="192" spans="1:120" s="115" customFormat="1" ht="24" hidden="1" customHeight="1" x14ac:dyDescent="0.25">
      <c r="A192" s="13"/>
      <c r="B192" s="121"/>
      <c r="C192" s="148" t="s">
        <v>33</v>
      </c>
      <c r="D192" s="122"/>
      <c r="E192" s="146"/>
      <c r="F192" s="146"/>
      <c r="G192" s="146"/>
      <c r="H192" s="146"/>
      <c r="I192" s="146"/>
      <c r="J192" s="146"/>
      <c r="K192" s="146"/>
      <c r="L192" s="146"/>
      <c r="M192" s="146"/>
      <c r="N192" s="147" t="str">
        <f>IF(COUNT(E192:M192),SUM(E192:M192),"")</f>
        <v/>
      </c>
      <c r="P192" s="3"/>
      <c r="BA192" s="287"/>
      <c r="BB192" s="287"/>
      <c r="BC192" s="287"/>
      <c r="BD192" s="287"/>
      <c r="BE192" s="287"/>
      <c r="BF192" s="287"/>
      <c r="BG192" s="287"/>
      <c r="BH192" s="287"/>
      <c r="BI192" s="287"/>
      <c r="BJ192" s="287"/>
      <c r="BK192" s="287"/>
      <c r="BL192" s="287"/>
      <c r="BM192" s="287"/>
      <c r="BN192" s="287"/>
      <c r="BO192" s="287"/>
      <c r="BP192" s="287"/>
      <c r="BQ192" s="287"/>
      <c r="BR192" s="287"/>
      <c r="BS192" s="287"/>
      <c r="BT192" s="287"/>
      <c r="BU192" s="287"/>
      <c r="BV192" s="287"/>
      <c r="BW192" s="287"/>
      <c r="BX192" s="287"/>
      <c r="BY192" s="287"/>
      <c r="BZ192" s="287"/>
      <c r="CA192" s="287"/>
      <c r="CB192" s="287"/>
      <c r="CC192" s="287"/>
      <c r="CD192" s="287"/>
      <c r="CE192" s="287"/>
      <c r="CF192" s="287"/>
      <c r="CG192" s="287"/>
      <c r="CH192" s="287"/>
      <c r="CI192" s="287"/>
      <c r="CJ192" s="287"/>
      <c r="CK192" s="287"/>
      <c r="CL192" s="287"/>
      <c r="CM192" s="287"/>
      <c r="CN192" s="287"/>
      <c r="CO192" s="287"/>
      <c r="CP192" s="287"/>
      <c r="CQ192" s="287"/>
      <c r="CR192" s="287"/>
      <c r="CS192" s="287"/>
      <c r="CT192" s="287"/>
      <c r="CU192" s="287"/>
      <c r="CV192" s="287"/>
      <c r="CW192" s="287"/>
      <c r="CX192" s="287"/>
      <c r="CY192" s="287"/>
      <c r="CZ192" s="287"/>
      <c r="DA192" s="287"/>
      <c r="DB192" s="287"/>
      <c r="DC192" s="287"/>
      <c r="DD192" s="287"/>
      <c r="DE192" s="287"/>
      <c r="DF192" s="287"/>
      <c r="DG192" s="287"/>
      <c r="DH192" s="287"/>
      <c r="DI192" s="287"/>
      <c r="DJ192" s="287"/>
      <c r="DK192" s="287"/>
      <c r="DL192" s="287"/>
      <c r="DM192" s="287"/>
      <c r="DN192" s="287"/>
      <c r="DO192" s="287"/>
      <c r="DP192" s="287"/>
    </row>
    <row r="193" spans="1:120" s="115" customFormat="1" ht="22.5" hidden="1" customHeight="1" x14ac:dyDescent="0.25">
      <c r="A193" s="13"/>
      <c r="B193" s="582" t="s">
        <v>15</v>
      </c>
      <c r="C193" s="583"/>
      <c r="D193" s="584"/>
      <c r="E193" s="144" t="str">
        <f>IF(OR(E189="",E190="",E191="",E192="",),"",SUM(E189:E192))</f>
        <v/>
      </c>
      <c r="F193" s="144" t="str">
        <f t="shared" ref="F193:M193" si="24">IF(OR(F189="",F190="",F191="",F192="",),"",SUM(F189:F192))</f>
        <v/>
      </c>
      <c r="G193" s="144" t="str">
        <f t="shared" si="24"/>
        <v/>
      </c>
      <c r="H193" s="144" t="str">
        <f t="shared" si="24"/>
        <v/>
      </c>
      <c r="I193" s="144" t="str">
        <f t="shared" si="24"/>
        <v/>
      </c>
      <c r="J193" s="144" t="str">
        <f t="shared" si="24"/>
        <v/>
      </c>
      <c r="K193" s="144" t="str">
        <f t="shared" si="24"/>
        <v/>
      </c>
      <c r="L193" s="144" t="str">
        <f t="shared" si="24"/>
        <v/>
      </c>
      <c r="M193" s="144" t="str">
        <f t="shared" si="24"/>
        <v/>
      </c>
      <c r="N193" s="45" t="str">
        <f>IF(COUNT(N189:N192),SUM(N189:N192),"")</f>
        <v/>
      </c>
      <c r="O193" s="366"/>
      <c r="P193" s="411"/>
      <c r="Q193" s="369"/>
      <c r="R193" s="369"/>
      <c r="S193" s="369"/>
      <c r="T193" s="369"/>
      <c r="U193" s="369"/>
      <c r="V193" s="369"/>
      <c r="W193" s="369"/>
      <c r="X193" s="369"/>
      <c r="Y193" s="369"/>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c r="CF193" s="287"/>
      <c r="CG193" s="287"/>
      <c r="CH193" s="287"/>
      <c r="CI193" s="287"/>
      <c r="CJ193" s="287"/>
      <c r="CK193" s="287"/>
      <c r="CL193" s="287"/>
      <c r="CM193" s="287"/>
      <c r="CN193" s="287"/>
      <c r="CO193" s="287"/>
      <c r="CP193" s="287"/>
      <c r="CQ193" s="287"/>
      <c r="CR193" s="287"/>
      <c r="CS193" s="287"/>
      <c r="CT193" s="287"/>
      <c r="CU193" s="287"/>
      <c r="CV193" s="287"/>
      <c r="CW193" s="287"/>
      <c r="CX193" s="287"/>
      <c r="CY193" s="287"/>
      <c r="CZ193" s="287"/>
      <c r="DA193" s="287"/>
      <c r="DB193" s="287"/>
      <c r="DC193" s="287"/>
      <c r="DD193" s="287"/>
      <c r="DE193" s="287"/>
      <c r="DF193" s="287"/>
      <c r="DG193" s="287"/>
      <c r="DH193" s="287"/>
      <c r="DI193" s="287"/>
      <c r="DJ193" s="287"/>
      <c r="DK193" s="287"/>
      <c r="DL193" s="287"/>
      <c r="DM193" s="287"/>
      <c r="DN193" s="287"/>
      <c r="DO193" s="287"/>
      <c r="DP193" s="287"/>
    </row>
    <row r="194" spans="1:120" s="115" customFormat="1" ht="45.75" hidden="1" customHeight="1" x14ac:dyDescent="0.25">
      <c r="A194" s="13"/>
      <c r="B194" s="730"/>
      <c r="C194" s="731"/>
      <c r="D194" s="732"/>
      <c r="E194" s="187" t="str">
        <f t="shared" ref="E194:G194" si="25">IF(OR(E171="",E173=""),"",IF(ISERROR(E173/E171),1,E173/E171))</f>
        <v/>
      </c>
      <c r="F194" s="187" t="str">
        <f t="shared" si="25"/>
        <v/>
      </c>
      <c r="G194" s="187" t="str">
        <f t="shared" si="25"/>
        <v/>
      </c>
      <c r="H194" s="187" t="str">
        <f>IF(OR(H171="",H173=""),"",IF(ISERROR(H173/H171),1,H173/H171))</f>
        <v/>
      </c>
      <c r="I194" s="187" t="str">
        <f t="shared" ref="I194:M194" si="26">IF(OR(I171="",I173=""),"",IF(ISERROR(I173/I171),1,I173/I171))</f>
        <v/>
      </c>
      <c r="J194" s="187" t="str">
        <f t="shared" si="26"/>
        <v/>
      </c>
      <c r="K194" s="187" t="str">
        <f t="shared" si="26"/>
        <v/>
      </c>
      <c r="L194" s="187" t="str">
        <f t="shared" si="26"/>
        <v/>
      </c>
      <c r="M194" s="187" t="str">
        <f t="shared" si="26"/>
        <v/>
      </c>
      <c r="N194" s="456">
        <f>IFERROR(AVERAGE(E194:M194),0)</f>
        <v>0</v>
      </c>
      <c r="O194" s="228" t="str">
        <f>IF(P194=1, "&lt;===", "")</f>
        <v/>
      </c>
      <c r="P194" s="364"/>
      <c r="BA194" s="287"/>
      <c r="BB194" s="287"/>
      <c r="BC194" s="287"/>
      <c r="BD194" s="287"/>
      <c r="BE194" s="287"/>
      <c r="BF194" s="287"/>
      <c r="BG194" s="287"/>
      <c r="BH194" s="287"/>
      <c r="BI194" s="287"/>
      <c r="BJ194" s="287"/>
      <c r="BK194" s="287"/>
      <c r="BL194" s="287"/>
      <c r="BM194" s="287"/>
      <c r="BN194" s="287"/>
      <c r="BO194" s="287"/>
      <c r="BP194" s="287"/>
      <c r="BQ194" s="287"/>
      <c r="BR194" s="287"/>
      <c r="BS194" s="287"/>
      <c r="BT194" s="287"/>
      <c r="BU194" s="287"/>
      <c r="BV194" s="287"/>
      <c r="BW194" s="287"/>
      <c r="BX194" s="287"/>
      <c r="BY194" s="287"/>
      <c r="BZ194" s="287"/>
      <c r="CA194" s="287"/>
      <c r="CB194" s="287"/>
      <c r="CC194" s="287"/>
      <c r="CD194" s="287"/>
      <c r="CE194" s="287"/>
      <c r="CF194" s="287"/>
      <c r="CG194" s="287"/>
      <c r="CH194" s="287"/>
      <c r="CI194" s="287"/>
      <c r="CJ194" s="287"/>
      <c r="CK194" s="287"/>
      <c r="CL194" s="287"/>
      <c r="CM194" s="287"/>
      <c r="CN194" s="287"/>
      <c r="CO194" s="287"/>
      <c r="CP194" s="287"/>
      <c r="CQ194" s="287"/>
      <c r="CR194" s="287"/>
      <c r="CS194" s="287"/>
      <c r="CT194" s="287"/>
      <c r="CU194" s="287"/>
      <c r="CV194" s="287"/>
      <c r="CW194" s="287"/>
      <c r="CX194" s="287"/>
      <c r="CY194" s="287"/>
      <c r="CZ194" s="287"/>
      <c r="DA194" s="287"/>
      <c r="DB194" s="287"/>
      <c r="DC194" s="287"/>
      <c r="DD194" s="287"/>
      <c r="DE194" s="287"/>
      <c r="DF194" s="287"/>
      <c r="DG194" s="287"/>
      <c r="DH194" s="287"/>
      <c r="DI194" s="287"/>
      <c r="DJ194" s="287"/>
      <c r="DK194" s="287"/>
      <c r="DL194" s="287"/>
      <c r="DM194" s="287"/>
      <c r="DN194" s="287"/>
      <c r="DO194" s="287"/>
      <c r="DP194" s="287"/>
    </row>
    <row r="195" spans="1:120" s="115" customFormat="1" ht="58.5" customHeight="1" x14ac:dyDescent="0.25">
      <c r="A195" s="13"/>
      <c r="B195" s="589" t="str">
        <f>IF(AND(N170&lt;&gt;"", N171&lt;&gt;"",N173&lt;&gt;"",B196=""),"Completion of the analysis and action plan boxes to the right are required ==&gt;.","")</f>
        <v/>
      </c>
      <c r="C195" s="589"/>
      <c r="D195" s="589"/>
      <c r="E195" s="589"/>
      <c r="F195" s="589"/>
      <c r="G195" s="589"/>
      <c r="H195" s="589"/>
      <c r="I195" s="589"/>
      <c r="J195" s="589"/>
      <c r="K195" s="589"/>
      <c r="L195" s="589"/>
      <c r="M195" s="589"/>
      <c r="N195" s="589"/>
      <c r="O195" s="337"/>
      <c r="P195" s="364"/>
      <c r="BA195" s="287"/>
      <c r="BB195" s="287"/>
      <c r="BC195" s="287"/>
      <c r="BD195" s="287"/>
      <c r="BE195" s="287"/>
      <c r="BF195" s="287"/>
      <c r="BG195" s="287"/>
      <c r="BH195" s="287"/>
      <c r="BI195" s="287"/>
      <c r="BJ195" s="287"/>
      <c r="BK195" s="287"/>
      <c r="BL195" s="287"/>
      <c r="BM195" s="287"/>
      <c r="BN195" s="287"/>
      <c r="BO195" s="287"/>
      <c r="BP195" s="287"/>
      <c r="BQ195" s="287"/>
      <c r="BR195" s="287"/>
      <c r="BS195" s="287"/>
      <c r="BT195" s="287"/>
      <c r="BU195" s="287"/>
      <c r="BV195" s="287"/>
      <c r="BW195" s="287"/>
      <c r="BX195" s="287"/>
      <c r="BY195" s="287"/>
      <c r="BZ195" s="287"/>
      <c r="CA195" s="287"/>
      <c r="CB195" s="287"/>
      <c r="CC195" s="287"/>
      <c r="CD195" s="287"/>
      <c r="CE195" s="287"/>
      <c r="CF195" s="287"/>
      <c r="CG195" s="287"/>
      <c r="CH195" s="287"/>
      <c r="CI195" s="287"/>
      <c r="CJ195" s="287"/>
      <c r="CK195" s="287"/>
      <c r="CL195" s="287"/>
      <c r="CM195" s="287"/>
      <c r="CN195" s="287"/>
      <c r="CO195" s="287"/>
      <c r="CP195" s="287"/>
      <c r="CQ195" s="287"/>
      <c r="CR195" s="287"/>
      <c r="CS195" s="287"/>
      <c r="CT195" s="287"/>
      <c r="CU195" s="287"/>
      <c r="CV195" s="287"/>
      <c r="CW195" s="287"/>
      <c r="CX195" s="287"/>
      <c r="CY195" s="287"/>
      <c r="CZ195" s="287"/>
      <c r="DA195" s="287"/>
      <c r="DB195" s="287"/>
      <c r="DC195" s="287"/>
      <c r="DD195" s="287"/>
      <c r="DE195" s="287"/>
      <c r="DF195" s="287"/>
      <c r="DG195" s="287"/>
      <c r="DH195" s="287"/>
      <c r="DI195" s="287"/>
      <c r="DJ195" s="287"/>
      <c r="DK195" s="287"/>
      <c r="DL195" s="287"/>
      <c r="DM195" s="287"/>
      <c r="DN195" s="287"/>
      <c r="DO195" s="287"/>
      <c r="DP195" s="287"/>
    </row>
    <row r="196" spans="1:120" s="115" customFormat="1" ht="51.75" customHeight="1" x14ac:dyDescent="0.25">
      <c r="A196" s="13"/>
      <c r="B196" s="756" t="str">
        <f>IF(AND(E169&lt;E170,E169&lt;&gt;""),"Error has occurred; The total number of surveys sent cannot be more than the total number of graduates placed.",IF(AND(E170&lt;E171,E170&lt;&gt;"",E171&lt;&gt;""),"Error has occurred; The total number of surveys returned cannot be more than the total number of surveys sent.",IF(OR(AND(E169&lt;&gt;"",E170="",D432&lt;&gt;""),AND(E169&lt;&gt;"",E171="",D432&lt;&gt;"")),"Please Note: An empty or blank cell is not the same a zero.","")))</f>
        <v/>
      </c>
      <c r="C196" s="756"/>
      <c r="D196" s="756"/>
      <c r="E196" s="756"/>
      <c r="F196" s="756"/>
      <c r="G196" s="756"/>
      <c r="H196" s="756"/>
      <c r="I196" s="756"/>
      <c r="J196" s="756"/>
      <c r="K196" s="756"/>
      <c r="L196" s="756"/>
      <c r="M196" s="756"/>
      <c r="N196" s="756"/>
      <c r="O196" s="337"/>
      <c r="P196" s="3"/>
      <c r="BA196" s="287"/>
      <c r="BB196" s="287"/>
      <c r="BC196" s="287"/>
      <c r="BD196" s="287"/>
      <c r="BE196" s="287"/>
      <c r="BF196" s="287"/>
      <c r="BG196" s="287"/>
      <c r="BH196" s="287"/>
      <c r="BI196" s="287"/>
      <c r="BJ196" s="287"/>
      <c r="BK196" s="287"/>
      <c r="BL196" s="287"/>
      <c r="BM196" s="287"/>
      <c r="BN196" s="287"/>
      <c r="BO196" s="287"/>
      <c r="BP196" s="287"/>
      <c r="BQ196" s="287"/>
      <c r="BR196" s="287"/>
      <c r="BS196" s="287"/>
      <c r="BT196" s="287"/>
      <c r="BU196" s="287"/>
      <c r="BV196" s="287"/>
      <c r="BW196" s="287"/>
      <c r="BX196" s="287"/>
      <c r="BY196" s="287"/>
      <c r="BZ196" s="287"/>
      <c r="CA196" s="287"/>
      <c r="CB196" s="287"/>
      <c r="CC196" s="287"/>
      <c r="CD196" s="287"/>
      <c r="CE196" s="287"/>
      <c r="CF196" s="287"/>
      <c r="CG196" s="287"/>
      <c r="CH196" s="287"/>
      <c r="CI196" s="287"/>
      <c r="CJ196" s="287"/>
      <c r="CK196" s="287"/>
      <c r="CL196" s="287"/>
      <c r="CM196" s="287"/>
      <c r="CN196" s="287"/>
      <c r="CO196" s="287"/>
      <c r="CP196" s="287"/>
      <c r="CQ196" s="287"/>
      <c r="CR196" s="287"/>
      <c r="CS196" s="287"/>
      <c r="CT196" s="287"/>
      <c r="CU196" s="287"/>
      <c r="CV196" s="287"/>
      <c r="CW196" s="287"/>
      <c r="CX196" s="287"/>
      <c r="CY196" s="287"/>
      <c r="CZ196" s="287"/>
      <c r="DA196" s="287"/>
      <c r="DB196" s="287"/>
      <c r="DC196" s="287"/>
      <c r="DD196" s="287"/>
      <c r="DE196" s="287"/>
      <c r="DF196" s="287"/>
      <c r="DG196" s="287"/>
      <c r="DH196" s="287"/>
      <c r="DI196" s="287"/>
      <c r="DJ196" s="287"/>
      <c r="DK196" s="287"/>
      <c r="DL196" s="287"/>
      <c r="DM196" s="287"/>
      <c r="DN196" s="287"/>
      <c r="DO196" s="287"/>
      <c r="DP196" s="287"/>
    </row>
    <row r="197" spans="1:120" s="115" customFormat="1" x14ac:dyDescent="0.25">
      <c r="A197" s="205"/>
      <c r="P197" s="3"/>
      <c r="BA197" s="287"/>
      <c r="BB197" s="287"/>
      <c r="BC197" s="287"/>
      <c r="BD197" s="287"/>
      <c r="BE197" s="287"/>
      <c r="BF197" s="287"/>
      <c r="BG197" s="287"/>
      <c r="BH197" s="287"/>
      <c r="BI197" s="287"/>
      <c r="BJ197" s="287"/>
      <c r="BK197" s="287"/>
      <c r="BL197" s="287"/>
      <c r="BM197" s="287"/>
      <c r="BN197" s="287"/>
      <c r="BO197" s="287"/>
      <c r="BP197" s="287"/>
      <c r="BQ197" s="287"/>
      <c r="BR197" s="287"/>
      <c r="BS197" s="287"/>
      <c r="BT197" s="287"/>
      <c r="BU197" s="287"/>
      <c r="BV197" s="287"/>
      <c r="BW197" s="287"/>
      <c r="BX197" s="287"/>
      <c r="BY197" s="287"/>
      <c r="BZ197" s="287"/>
      <c r="CA197" s="287"/>
      <c r="CB197" s="287"/>
      <c r="CC197" s="287"/>
      <c r="CD197" s="287"/>
      <c r="CE197" s="287"/>
      <c r="CF197" s="287"/>
      <c r="CG197" s="287"/>
      <c r="CH197" s="287"/>
      <c r="CI197" s="287"/>
      <c r="CJ197" s="287"/>
      <c r="CK197" s="287"/>
      <c r="CL197" s="287"/>
      <c r="CM197" s="287"/>
      <c r="CN197" s="287"/>
      <c r="CO197" s="287"/>
      <c r="CP197" s="287"/>
      <c r="CQ197" s="287"/>
      <c r="CR197" s="287"/>
      <c r="CS197" s="287"/>
      <c r="CT197" s="287"/>
      <c r="CU197" s="287"/>
      <c r="CV197" s="287"/>
      <c r="CW197" s="287"/>
      <c r="CX197" s="287"/>
      <c r="CY197" s="287"/>
      <c r="CZ197" s="287"/>
      <c r="DA197" s="287"/>
      <c r="DB197" s="287"/>
      <c r="DC197" s="287"/>
      <c r="DD197" s="287"/>
      <c r="DE197" s="287"/>
      <c r="DF197" s="287"/>
      <c r="DG197" s="287"/>
      <c r="DH197" s="287"/>
      <c r="DI197" s="287"/>
      <c r="DJ197" s="287"/>
      <c r="DK197" s="287"/>
      <c r="DL197" s="287"/>
      <c r="DM197" s="287"/>
      <c r="DN197" s="287"/>
      <c r="DO197" s="287"/>
      <c r="DP197" s="287"/>
    </row>
    <row r="198" spans="1:120" s="115" customFormat="1" ht="79.5" customHeight="1" x14ac:dyDescent="0.25">
      <c r="A198" s="205"/>
      <c r="B198" s="600" t="s">
        <v>66</v>
      </c>
      <c r="C198" s="601"/>
      <c r="D198" s="601"/>
      <c r="E198" s="601"/>
      <c r="F198" s="601"/>
      <c r="G198" s="601"/>
      <c r="H198" s="601"/>
      <c r="I198" s="601"/>
      <c r="J198" s="601"/>
      <c r="K198" s="601"/>
      <c r="L198" s="601"/>
      <c r="M198" s="601"/>
      <c r="N198" s="602"/>
      <c r="P198" s="386"/>
      <c r="BA198" s="287"/>
      <c r="BB198" s="287"/>
      <c r="BC198" s="287"/>
      <c r="BD198" s="287"/>
      <c r="BE198" s="287"/>
      <c r="BF198" s="287"/>
      <c r="BG198" s="287"/>
      <c r="BH198" s="287"/>
      <c r="BI198" s="287"/>
      <c r="BJ198" s="287"/>
      <c r="BK198" s="287"/>
      <c r="BL198" s="287"/>
      <c r="BM198" s="287"/>
      <c r="BN198" s="287"/>
      <c r="BO198" s="287"/>
      <c r="BP198" s="287"/>
      <c r="BQ198" s="287"/>
      <c r="BR198" s="287"/>
      <c r="BS198" s="287"/>
      <c r="BT198" s="287"/>
      <c r="BU198" s="287"/>
      <c r="BV198" s="287"/>
      <c r="BW198" s="287"/>
      <c r="BX198" s="287"/>
      <c r="BY198" s="287"/>
      <c r="BZ198" s="287"/>
      <c r="CA198" s="287"/>
      <c r="CB198" s="287"/>
      <c r="CC198" s="287"/>
      <c r="CD198" s="287"/>
      <c r="CE198" s="287"/>
      <c r="CF198" s="287"/>
      <c r="CG198" s="287"/>
      <c r="CH198" s="287"/>
      <c r="CI198" s="287"/>
      <c r="CJ198" s="287"/>
      <c r="CK198" s="287"/>
      <c r="CL198" s="287"/>
      <c r="CM198" s="287"/>
      <c r="CN198" s="287"/>
      <c r="CO198" s="287"/>
      <c r="CP198" s="287"/>
      <c r="CQ198" s="287"/>
      <c r="CR198" s="287"/>
      <c r="CS198" s="287"/>
      <c r="CT198" s="287"/>
      <c r="CU198" s="287"/>
      <c r="CV198" s="287"/>
      <c r="CW198" s="287"/>
      <c r="CX198" s="287"/>
      <c r="CY198" s="287"/>
      <c r="CZ198" s="287"/>
      <c r="DA198" s="287"/>
      <c r="DB198" s="287"/>
      <c r="DC198" s="287"/>
      <c r="DD198" s="287"/>
      <c r="DE198" s="287"/>
      <c r="DF198" s="287"/>
      <c r="DG198" s="287"/>
      <c r="DH198" s="287"/>
      <c r="DI198" s="287"/>
      <c r="DJ198" s="287"/>
      <c r="DK198" s="287"/>
      <c r="DL198" s="287"/>
      <c r="DM198" s="287"/>
      <c r="DN198" s="287"/>
      <c r="DO198" s="287"/>
      <c r="DP198" s="287"/>
    </row>
    <row r="199" spans="1:120" s="202" customFormat="1" x14ac:dyDescent="0.25">
      <c r="A199" s="205"/>
      <c r="P199" s="3"/>
      <c r="BA199" s="287"/>
      <c r="BB199" s="287"/>
      <c r="BC199" s="287"/>
      <c r="BD199" s="287"/>
      <c r="BE199" s="287"/>
      <c r="BF199" s="287"/>
      <c r="BG199" s="287"/>
      <c r="BH199" s="287"/>
      <c r="BI199" s="287"/>
      <c r="BJ199" s="287"/>
      <c r="BK199" s="287"/>
      <c r="BL199" s="287"/>
      <c r="BM199" s="287"/>
      <c r="BN199" s="287"/>
      <c r="BO199" s="287"/>
      <c r="BP199" s="287"/>
      <c r="BQ199" s="287"/>
      <c r="BR199" s="287"/>
      <c r="BS199" s="287"/>
      <c r="BT199" s="287"/>
      <c r="BU199" s="287"/>
      <c r="BV199" s="287"/>
      <c r="BW199" s="287"/>
      <c r="BX199" s="287"/>
      <c r="BY199" s="287"/>
      <c r="BZ199" s="287"/>
      <c r="CA199" s="287"/>
      <c r="CB199" s="287"/>
      <c r="CC199" s="287"/>
      <c r="CD199" s="287"/>
      <c r="CE199" s="287"/>
      <c r="CF199" s="287"/>
      <c r="CG199" s="287"/>
      <c r="CH199" s="287"/>
      <c r="CI199" s="287"/>
      <c r="CJ199" s="287"/>
      <c r="CK199" s="287"/>
      <c r="CL199" s="287"/>
      <c r="CM199" s="287"/>
      <c r="CN199" s="287"/>
      <c r="CO199" s="287"/>
      <c r="CP199" s="287"/>
      <c r="CQ199" s="287"/>
      <c r="CR199" s="287"/>
      <c r="CS199" s="287"/>
      <c r="CT199" s="287"/>
      <c r="CU199" s="287"/>
      <c r="CV199" s="287"/>
      <c r="CW199" s="287"/>
      <c r="CX199" s="287"/>
      <c r="CY199" s="287"/>
      <c r="CZ199" s="287"/>
      <c r="DA199" s="287"/>
      <c r="DB199" s="287"/>
      <c r="DC199" s="287"/>
      <c r="DD199" s="287"/>
      <c r="DE199" s="287"/>
      <c r="DF199" s="287"/>
      <c r="DG199" s="287"/>
      <c r="DH199" s="287"/>
      <c r="DI199" s="287"/>
      <c r="DJ199" s="287"/>
      <c r="DK199" s="287"/>
      <c r="DL199" s="287"/>
      <c r="DM199" s="287"/>
      <c r="DN199" s="287"/>
      <c r="DO199" s="287"/>
      <c r="DP199" s="287"/>
    </row>
    <row r="200" spans="1:120" s="23" customFormat="1" x14ac:dyDescent="0.25">
      <c r="A200" s="205"/>
      <c r="P200" s="3"/>
      <c r="BA200" s="287"/>
      <c r="BB200" s="287"/>
      <c r="BC200" s="287"/>
      <c r="BD200" s="287"/>
      <c r="BE200" s="287"/>
      <c r="BF200" s="287"/>
      <c r="BG200" s="287"/>
      <c r="BH200" s="287"/>
      <c r="BI200" s="287"/>
      <c r="BJ200" s="287"/>
      <c r="BK200" s="287"/>
      <c r="BL200" s="287"/>
      <c r="BM200" s="287"/>
      <c r="BN200" s="287"/>
      <c r="BO200" s="287"/>
      <c r="BP200" s="287"/>
      <c r="BQ200" s="287"/>
      <c r="BR200" s="287"/>
      <c r="BS200" s="287"/>
      <c r="BT200" s="287"/>
      <c r="BU200" s="287"/>
      <c r="BV200" s="287"/>
      <c r="BW200" s="287"/>
      <c r="BX200" s="287"/>
      <c r="BY200" s="287"/>
      <c r="BZ200" s="287"/>
      <c r="CA200" s="287"/>
      <c r="CB200" s="287"/>
      <c r="CC200" s="287"/>
      <c r="CD200" s="287"/>
      <c r="CE200" s="287"/>
      <c r="CF200" s="287"/>
      <c r="CG200" s="287"/>
      <c r="CH200" s="287"/>
      <c r="CI200" s="287"/>
      <c r="CJ200" s="287"/>
      <c r="CK200" s="287"/>
      <c r="CL200" s="287"/>
      <c r="CM200" s="287"/>
      <c r="CN200" s="287"/>
      <c r="CO200" s="287"/>
      <c r="CP200" s="287"/>
      <c r="CQ200" s="287"/>
      <c r="CR200" s="287"/>
      <c r="CS200" s="287"/>
      <c r="CT200" s="287"/>
      <c r="CU200" s="287"/>
      <c r="CV200" s="287"/>
      <c r="CW200" s="287"/>
      <c r="CX200" s="287"/>
      <c r="CY200" s="287"/>
      <c r="CZ200" s="287"/>
      <c r="DA200" s="287"/>
      <c r="DB200" s="287"/>
      <c r="DC200" s="287"/>
      <c r="DD200" s="287"/>
      <c r="DE200" s="287"/>
      <c r="DF200" s="287"/>
      <c r="DG200" s="287"/>
      <c r="DH200" s="287"/>
      <c r="DI200" s="287"/>
      <c r="DJ200" s="287"/>
      <c r="DK200" s="287"/>
      <c r="DL200" s="287"/>
      <c r="DM200" s="287"/>
      <c r="DN200" s="287"/>
      <c r="DO200" s="287"/>
      <c r="DP200" s="287"/>
    </row>
    <row r="201" spans="1:120" s="16" customFormat="1" x14ac:dyDescent="0.25">
      <c r="A201" s="205"/>
      <c r="B201" s="19"/>
      <c r="C201" s="20">
        <f>$D$16</f>
        <v>0</v>
      </c>
      <c r="D201" s="618">
        <f>$D$18</f>
        <v>0</v>
      </c>
      <c r="E201" s="618"/>
      <c r="F201" s="618"/>
      <c r="G201" s="618"/>
      <c r="H201" s="618"/>
      <c r="I201" s="618"/>
      <c r="J201" s="618"/>
      <c r="K201" s="618"/>
      <c r="P201" s="3"/>
      <c r="Q201" s="23"/>
      <c r="R201" s="23"/>
      <c r="S201" s="23"/>
      <c r="T201" s="23"/>
      <c r="U201" s="23"/>
      <c r="V201" s="23"/>
      <c r="W201" s="23"/>
      <c r="X201" s="23"/>
      <c r="Y201" s="23"/>
      <c r="Z201" s="23"/>
      <c r="BA201" s="287"/>
      <c r="BB201" s="287"/>
      <c r="BC201" s="287"/>
      <c r="BD201" s="287"/>
      <c r="BE201" s="287"/>
      <c r="BF201" s="287"/>
      <c r="BG201" s="287"/>
      <c r="BH201" s="287"/>
      <c r="BI201" s="287"/>
      <c r="BJ201" s="287"/>
      <c r="BK201" s="287"/>
      <c r="BL201" s="287"/>
      <c r="BM201" s="287"/>
      <c r="BN201" s="287"/>
      <c r="BO201" s="287"/>
      <c r="BP201" s="287"/>
      <c r="BQ201" s="287"/>
      <c r="BR201" s="287"/>
      <c r="BS201" s="287"/>
      <c r="BT201" s="287"/>
      <c r="BU201" s="287"/>
      <c r="BV201" s="287"/>
      <c r="BW201" s="287"/>
      <c r="BX201" s="287"/>
      <c r="BY201" s="287"/>
      <c r="BZ201" s="287"/>
      <c r="CA201" s="287"/>
      <c r="CB201" s="287"/>
      <c r="CC201" s="287"/>
      <c r="CD201" s="287"/>
      <c r="CE201" s="287"/>
      <c r="CF201" s="287"/>
      <c r="CG201" s="287"/>
      <c r="CH201" s="287"/>
      <c r="CI201" s="287"/>
      <c r="CJ201" s="287"/>
      <c r="CK201" s="287"/>
      <c r="CL201" s="287"/>
      <c r="CM201" s="287"/>
      <c r="CN201" s="287"/>
      <c r="CO201" s="287"/>
      <c r="CP201" s="287"/>
      <c r="CQ201" s="287"/>
      <c r="CR201" s="287"/>
      <c r="CS201" s="287"/>
      <c r="CT201" s="287"/>
      <c r="CU201" s="287"/>
      <c r="CV201" s="287"/>
      <c r="CW201" s="287"/>
      <c r="CX201" s="287"/>
      <c r="CY201" s="287"/>
      <c r="CZ201" s="287"/>
      <c r="DA201" s="287"/>
      <c r="DB201" s="287"/>
      <c r="DC201" s="287"/>
      <c r="DD201" s="287"/>
      <c r="DE201" s="287"/>
      <c r="DF201" s="287"/>
      <c r="DG201" s="287"/>
      <c r="DH201" s="287"/>
      <c r="DI201" s="287"/>
      <c r="DJ201" s="287"/>
      <c r="DK201" s="287"/>
      <c r="DL201" s="287"/>
      <c r="DM201" s="287"/>
      <c r="DN201" s="287"/>
      <c r="DO201" s="287"/>
      <c r="DP201" s="287"/>
    </row>
    <row r="202" spans="1:120" x14ac:dyDescent="0.25">
      <c r="A202" s="205"/>
      <c r="Q202" s="16"/>
      <c r="R202" s="16"/>
      <c r="S202" s="16"/>
      <c r="T202" s="16"/>
      <c r="U202" s="16"/>
      <c r="V202" s="16"/>
      <c r="W202" s="16"/>
      <c r="X202" s="16"/>
      <c r="Y202" s="16"/>
      <c r="Z202" s="16"/>
      <c r="BA202" s="287"/>
      <c r="BB202" s="287"/>
      <c r="BC202" s="287"/>
      <c r="BD202" s="287"/>
      <c r="BE202" s="287"/>
      <c r="BF202" s="287"/>
      <c r="BG202" s="287"/>
      <c r="BH202" s="287"/>
      <c r="BI202" s="287"/>
      <c r="BJ202" s="287"/>
      <c r="BK202" s="287"/>
      <c r="BL202" s="287"/>
      <c r="BM202" s="287"/>
      <c r="BN202" s="287"/>
      <c r="BO202" s="287"/>
      <c r="BP202" s="287"/>
      <c r="BQ202" s="287"/>
      <c r="BR202" s="287"/>
      <c r="BS202" s="287"/>
      <c r="BT202" s="287"/>
      <c r="BU202" s="287"/>
      <c r="BV202" s="287"/>
      <c r="BW202" s="287"/>
      <c r="BX202" s="287"/>
      <c r="BY202" s="287"/>
      <c r="BZ202" s="287"/>
      <c r="CA202" s="287"/>
      <c r="CB202" s="287"/>
      <c r="CC202" s="287"/>
      <c r="CD202" s="287"/>
      <c r="CE202" s="287"/>
      <c r="CF202" s="287"/>
      <c r="CG202" s="287"/>
      <c r="CH202" s="287"/>
      <c r="CI202" s="287"/>
      <c r="CJ202" s="287"/>
      <c r="CK202" s="287"/>
      <c r="CL202" s="287"/>
      <c r="CM202" s="287"/>
      <c r="CN202" s="287"/>
      <c r="CO202" s="287"/>
      <c r="CP202" s="287"/>
      <c r="CQ202" s="287"/>
      <c r="CR202" s="287"/>
      <c r="CS202" s="287"/>
      <c r="CT202" s="287"/>
      <c r="CU202" s="287"/>
      <c r="CV202" s="287"/>
      <c r="CW202" s="287"/>
      <c r="CX202" s="287"/>
      <c r="CY202" s="287"/>
      <c r="CZ202" s="287"/>
      <c r="DA202" s="287"/>
      <c r="DB202" s="287"/>
      <c r="DC202" s="287"/>
      <c r="DD202" s="287"/>
      <c r="DE202" s="287"/>
      <c r="DF202" s="287"/>
      <c r="DG202" s="287"/>
      <c r="DH202" s="287"/>
      <c r="DI202" s="287"/>
      <c r="DJ202" s="287"/>
      <c r="DK202" s="287"/>
      <c r="DL202" s="287"/>
      <c r="DM202" s="287"/>
      <c r="DN202" s="287"/>
      <c r="DO202" s="287"/>
      <c r="DP202" s="287"/>
    </row>
    <row r="203" spans="1:120" s="43" customFormat="1" ht="23.25" customHeight="1" x14ac:dyDescent="0.25">
      <c r="A203" s="205"/>
      <c r="B203" s="47" t="s">
        <v>16</v>
      </c>
      <c r="C203" s="48"/>
      <c r="D203" s="48"/>
      <c r="E203" s="48"/>
      <c r="F203" s="48"/>
      <c r="G203" s="48"/>
      <c r="H203" s="48"/>
      <c r="I203" s="48"/>
      <c r="J203" s="48"/>
      <c r="K203" s="48"/>
      <c r="L203" s="48"/>
      <c r="M203" s="48"/>
      <c r="N203" s="49"/>
      <c r="P203" s="3"/>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c r="BV203" s="287"/>
      <c r="BW203" s="287"/>
      <c r="BX203" s="287"/>
      <c r="BY203" s="287"/>
      <c r="BZ203" s="287"/>
      <c r="CA203" s="287"/>
      <c r="CB203" s="287"/>
      <c r="CC203" s="287"/>
      <c r="CD203" s="287"/>
      <c r="CE203" s="287"/>
      <c r="CF203" s="287"/>
      <c r="CG203" s="287"/>
      <c r="CH203" s="287"/>
      <c r="CI203" s="287"/>
      <c r="CJ203" s="287"/>
      <c r="CK203" s="287"/>
      <c r="CL203" s="287"/>
      <c r="CM203" s="287"/>
      <c r="CN203" s="287"/>
      <c r="CO203" s="287"/>
      <c r="CP203" s="287"/>
      <c r="CQ203" s="287"/>
      <c r="CR203" s="287"/>
      <c r="CS203" s="287"/>
      <c r="CT203" s="287"/>
      <c r="CU203" s="287"/>
      <c r="CV203" s="287"/>
      <c r="CW203" s="287"/>
      <c r="CX203" s="287"/>
      <c r="CY203" s="287"/>
      <c r="CZ203" s="287"/>
      <c r="DA203" s="287"/>
      <c r="DB203" s="287"/>
      <c r="DC203" s="287"/>
      <c r="DD203" s="287"/>
      <c r="DE203" s="287"/>
      <c r="DF203" s="287"/>
      <c r="DG203" s="287"/>
      <c r="DH203" s="287"/>
      <c r="DI203" s="287"/>
      <c r="DJ203" s="287"/>
      <c r="DK203" s="287"/>
      <c r="DL203" s="287"/>
      <c r="DM203" s="287"/>
      <c r="DN203" s="287"/>
      <c r="DO203" s="287"/>
      <c r="DP203" s="287"/>
    </row>
    <row r="204" spans="1:120" s="43" customFormat="1" ht="74.25" customHeight="1" x14ac:dyDescent="0.25">
      <c r="A204" s="205"/>
      <c r="B204" s="751" t="s">
        <v>181</v>
      </c>
      <c r="C204" s="752"/>
      <c r="D204" s="752"/>
      <c r="E204" s="752"/>
      <c r="F204" s="752"/>
      <c r="G204" s="752"/>
      <c r="H204" s="752"/>
      <c r="I204" s="752"/>
      <c r="J204" s="752"/>
      <c r="K204" s="752"/>
      <c r="L204" s="752"/>
      <c r="M204" s="752"/>
      <c r="N204" s="753"/>
      <c r="P204" s="3"/>
      <c r="BA204" s="287"/>
      <c r="BB204" s="287"/>
      <c r="BC204" s="287"/>
      <c r="BD204" s="287"/>
      <c r="BE204" s="287"/>
      <c r="BF204" s="287"/>
      <c r="BG204" s="287"/>
      <c r="BH204" s="287"/>
      <c r="BI204" s="287"/>
      <c r="BJ204" s="287"/>
      <c r="BK204" s="287"/>
      <c r="BL204" s="287"/>
      <c r="BM204" s="287"/>
      <c r="BN204" s="287"/>
      <c r="BO204" s="287"/>
      <c r="BP204" s="287"/>
      <c r="BQ204" s="287"/>
      <c r="BR204" s="287"/>
      <c r="BS204" s="287"/>
      <c r="BT204" s="287"/>
      <c r="BU204" s="287"/>
      <c r="BV204" s="287"/>
      <c r="BW204" s="287"/>
      <c r="BX204" s="287"/>
      <c r="BY204" s="287"/>
      <c r="BZ204" s="287"/>
      <c r="CA204" s="287"/>
      <c r="CB204" s="287"/>
      <c r="CC204" s="287"/>
      <c r="CD204" s="287"/>
      <c r="CE204" s="287"/>
      <c r="CF204" s="287"/>
      <c r="CG204" s="287"/>
      <c r="CH204" s="287"/>
      <c r="CI204" s="287"/>
      <c r="CJ204" s="287"/>
      <c r="CK204" s="287"/>
      <c r="CL204" s="287"/>
      <c r="CM204" s="287"/>
      <c r="CN204" s="287"/>
      <c r="CO204" s="287"/>
      <c r="CP204" s="287"/>
      <c r="CQ204" s="287"/>
      <c r="CR204" s="287"/>
      <c r="CS204" s="287"/>
      <c r="CT204" s="287"/>
      <c r="CU204" s="287"/>
      <c r="CV204" s="287"/>
      <c r="CW204" s="287"/>
      <c r="CX204" s="287"/>
      <c r="CY204" s="287"/>
      <c r="CZ204" s="287"/>
      <c r="DA204" s="287"/>
      <c r="DB204" s="287"/>
      <c r="DC204" s="287"/>
      <c r="DD204" s="287"/>
      <c r="DE204" s="287"/>
      <c r="DF204" s="287"/>
      <c r="DG204" s="287"/>
      <c r="DH204" s="287"/>
      <c r="DI204" s="287"/>
      <c r="DJ204" s="287"/>
      <c r="DK204" s="287"/>
      <c r="DL204" s="287"/>
      <c r="DM204" s="287"/>
      <c r="DN204" s="287"/>
      <c r="DO204" s="287"/>
      <c r="DP204" s="287"/>
    </row>
    <row r="205" spans="1:120" s="46" customFormat="1" ht="16.5" customHeight="1" x14ac:dyDescent="0.25">
      <c r="A205" s="205"/>
      <c r="B205" s="793" t="s">
        <v>182</v>
      </c>
      <c r="C205" s="794"/>
      <c r="D205" s="794"/>
      <c r="E205" s="794"/>
      <c r="F205" s="794"/>
      <c r="G205" s="794"/>
      <c r="H205" s="794"/>
      <c r="I205" s="794"/>
      <c r="J205" s="794"/>
      <c r="K205" s="794"/>
      <c r="L205" s="794"/>
      <c r="M205" s="794"/>
      <c r="N205" s="795"/>
      <c r="P205" s="3"/>
      <c r="BA205" s="287"/>
      <c r="BB205" s="287"/>
      <c r="BC205" s="287"/>
      <c r="BD205" s="287"/>
      <c r="BE205" s="287"/>
      <c r="BF205" s="287"/>
      <c r="BG205" s="287"/>
      <c r="BH205" s="287"/>
      <c r="BI205" s="287"/>
      <c r="BJ205" s="287"/>
      <c r="BK205" s="287"/>
      <c r="BL205" s="287"/>
      <c r="BM205" s="287"/>
      <c r="BN205" s="287"/>
      <c r="BO205" s="287"/>
      <c r="BP205" s="287"/>
      <c r="BQ205" s="287"/>
      <c r="BR205" s="287"/>
      <c r="BS205" s="287"/>
      <c r="BT205" s="287"/>
      <c r="BU205" s="287"/>
      <c r="BV205" s="287"/>
      <c r="BW205" s="287"/>
      <c r="BX205" s="287"/>
      <c r="BY205" s="287"/>
      <c r="BZ205" s="287"/>
      <c r="CA205" s="287"/>
      <c r="CB205" s="287"/>
      <c r="CC205" s="287"/>
      <c r="CD205" s="287"/>
      <c r="CE205" s="287"/>
      <c r="CF205" s="287"/>
      <c r="CG205" s="287"/>
      <c r="CH205" s="287"/>
      <c r="CI205" s="287"/>
      <c r="CJ205" s="287"/>
      <c r="CK205" s="287"/>
      <c r="CL205" s="287"/>
      <c r="CM205" s="287"/>
      <c r="CN205" s="287"/>
      <c r="CO205" s="287"/>
      <c r="CP205" s="287"/>
      <c r="CQ205" s="287"/>
      <c r="CR205" s="287"/>
      <c r="CS205" s="287"/>
      <c r="CT205" s="287"/>
      <c r="CU205" s="287"/>
      <c r="CV205" s="287"/>
      <c r="CW205" s="287"/>
      <c r="CX205" s="287"/>
      <c r="CY205" s="287"/>
      <c r="CZ205" s="287"/>
      <c r="DA205" s="287"/>
      <c r="DB205" s="287"/>
      <c r="DC205" s="287"/>
      <c r="DD205" s="287"/>
      <c r="DE205" s="287"/>
      <c r="DF205" s="287"/>
      <c r="DG205" s="287"/>
      <c r="DH205" s="287"/>
      <c r="DI205" s="287"/>
      <c r="DJ205" s="287"/>
      <c r="DK205" s="287"/>
      <c r="DL205" s="287"/>
      <c r="DM205" s="287"/>
      <c r="DN205" s="287"/>
      <c r="DO205" s="287"/>
      <c r="DP205" s="287"/>
    </row>
    <row r="206" spans="1:120" s="46" customFormat="1" ht="14.25" customHeight="1" x14ac:dyDescent="0.25">
      <c r="A206" s="205"/>
      <c r="B206" s="799"/>
      <c r="C206" s="800"/>
      <c r="D206" s="800"/>
      <c r="E206" s="800"/>
      <c r="F206" s="800"/>
      <c r="G206" s="800"/>
      <c r="H206" s="800"/>
      <c r="I206" s="800"/>
      <c r="J206" s="800"/>
      <c r="K206" s="800"/>
      <c r="L206" s="800"/>
      <c r="M206" s="800"/>
      <c r="N206" s="801"/>
      <c r="P206" s="3"/>
      <c r="BA206" s="287"/>
      <c r="BB206" s="287"/>
      <c r="BC206" s="287"/>
      <c r="BD206" s="287"/>
      <c r="BE206" s="287"/>
      <c r="BF206" s="287"/>
      <c r="BG206" s="287"/>
      <c r="BH206" s="287"/>
      <c r="BI206" s="287"/>
      <c r="BJ206" s="287"/>
      <c r="BK206" s="287"/>
      <c r="BL206" s="287"/>
      <c r="BM206" s="287"/>
      <c r="BN206" s="287"/>
      <c r="BO206" s="287"/>
      <c r="BP206" s="287"/>
      <c r="BQ206" s="287"/>
      <c r="BR206" s="287"/>
      <c r="BS206" s="287"/>
      <c r="BT206" s="287"/>
      <c r="BU206" s="287"/>
      <c r="BV206" s="287"/>
      <c r="BW206" s="287"/>
      <c r="BX206" s="287"/>
      <c r="BY206" s="287"/>
      <c r="BZ206" s="287"/>
      <c r="CA206" s="287"/>
      <c r="CB206" s="287"/>
      <c r="CC206" s="287"/>
      <c r="CD206" s="287"/>
      <c r="CE206" s="287"/>
      <c r="CF206" s="287"/>
      <c r="CG206" s="287"/>
      <c r="CH206" s="287"/>
      <c r="CI206" s="287"/>
      <c r="CJ206" s="287"/>
      <c r="CK206" s="287"/>
      <c r="CL206" s="287"/>
      <c r="CM206" s="287"/>
      <c r="CN206" s="287"/>
      <c r="CO206" s="287"/>
      <c r="CP206" s="287"/>
      <c r="CQ206" s="287"/>
      <c r="CR206" s="287"/>
      <c r="CS206" s="287"/>
      <c r="CT206" s="287"/>
      <c r="CU206" s="287"/>
      <c r="CV206" s="287"/>
      <c r="CW206" s="287"/>
      <c r="CX206" s="287"/>
      <c r="CY206" s="287"/>
      <c r="CZ206" s="287"/>
      <c r="DA206" s="287"/>
      <c r="DB206" s="287"/>
      <c r="DC206" s="287"/>
      <c r="DD206" s="287"/>
      <c r="DE206" s="287"/>
      <c r="DF206" s="287"/>
      <c r="DG206" s="287"/>
      <c r="DH206" s="287"/>
      <c r="DI206" s="287"/>
      <c r="DJ206" s="287"/>
      <c r="DK206" s="287"/>
      <c r="DL206" s="287"/>
      <c r="DM206" s="287"/>
      <c r="DN206" s="287"/>
      <c r="DO206" s="287"/>
      <c r="DP206" s="287"/>
    </row>
    <row r="207" spans="1:120" s="46" customFormat="1" x14ac:dyDescent="0.25">
      <c r="A207" s="205"/>
      <c r="P207" s="3"/>
      <c r="BA207" s="287"/>
      <c r="BB207" s="287"/>
      <c r="BC207" s="287"/>
      <c r="BD207" s="287"/>
      <c r="BE207" s="287"/>
      <c r="BF207" s="287"/>
      <c r="BG207" s="287"/>
      <c r="BH207" s="287"/>
      <c r="BI207" s="287"/>
      <c r="BJ207" s="287"/>
      <c r="BK207" s="287"/>
      <c r="BL207" s="287"/>
      <c r="BM207" s="287"/>
      <c r="BN207" s="287"/>
      <c r="BO207" s="287"/>
      <c r="BP207" s="287"/>
      <c r="BQ207" s="287"/>
      <c r="BR207" s="287"/>
      <c r="BS207" s="287"/>
      <c r="BT207" s="287"/>
      <c r="BU207" s="287"/>
      <c r="BV207" s="287"/>
      <c r="BW207" s="287"/>
      <c r="BX207" s="287"/>
      <c r="BY207" s="287"/>
      <c r="BZ207" s="287"/>
      <c r="CA207" s="287"/>
      <c r="CB207" s="287"/>
      <c r="CC207" s="287"/>
      <c r="CD207" s="287"/>
      <c r="CE207" s="287"/>
      <c r="CF207" s="287"/>
      <c r="CG207" s="287"/>
      <c r="CH207" s="287"/>
      <c r="CI207" s="287"/>
      <c r="CJ207" s="287"/>
      <c r="CK207" s="287"/>
      <c r="CL207" s="287"/>
      <c r="CM207" s="287"/>
      <c r="CN207" s="287"/>
      <c r="CO207" s="287"/>
      <c r="CP207" s="287"/>
      <c r="CQ207" s="287"/>
      <c r="CR207" s="287"/>
      <c r="CS207" s="287"/>
      <c r="CT207" s="287"/>
      <c r="CU207" s="287"/>
      <c r="CV207" s="287"/>
      <c r="CW207" s="287"/>
      <c r="CX207" s="287"/>
      <c r="CY207" s="287"/>
      <c r="CZ207" s="287"/>
      <c r="DA207" s="287"/>
      <c r="DB207" s="287"/>
      <c r="DC207" s="287"/>
      <c r="DD207" s="287"/>
      <c r="DE207" s="287"/>
      <c r="DF207" s="287"/>
      <c r="DG207" s="287"/>
      <c r="DH207" s="287"/>
      <c r="DI207" s="287"/>
      <c r="DJ207" s="287"/>
      <c r="DK207" s="287"/>
      <c r="DL207" s="287"/>
      <c r="DM207" s="287"/>
      <c r="DN207" s="287"/>
      <c r="DO207" s="287"/>
      <c r="DP207" s="287"/>
    </row>
    <row r="208" spans="1:120" s="46" customFormat="1" ht="54.75" customHeight="1" x14ac:dyDescent="0.25">
      <c r="A208" s="205"/>
      <c r="B208" s="51" t="s">
        <v>19</v>
      </c>
      <c r="C208" s="754" t="str">
        <f>"Were all of the Resource Assessment Matrix [RAM] categories equal to or above 80% in the " &amp;D4 &amp;" calendar year?"</f>
        <v>Were all of the Resource Assessment Matrix [RAM] categories equal to or above 80% in the 2022 calendar year?</v>
      </c>
      <c r="D208" s="754"/>
      <c r="E208" s="754"/>
      <c r="F208" s="755"/>
      <c r="G208" s="749" t="s">
        <v>23</v>
      </c>
      <c r="H208" s="750"/>
      <c r="J208" s="796" t="str">
        <f>IF(G208="Yes", "Congratulations!!  All Resource Assessment Matrix categories have been indicated as Met.  Please scroll down to the General Information section below.", "")</f>
        <v/>
      </c>
      <c r="K208" s="796"/>
      <c r="L208" s="796"/>
      <c r="M208" s="796"/>
      <c r="N208" s="796"/>
      <c r="O208" s="221" t="str">
        <f>IF(P208=1, "&lt;===", "")</f>
        <v/>
      </c>
      <c r="P208" s="364" t="str">
        <f>IF(AND(G208="Please Select",D432&lt;&gt;""), 1, "")</f>
        <v/>
      </c>
      <c r="BA208" s="287"/>
      <c r="BB208" s="287"/>
      <c r="BC208" s="287"/>
      <c r="BD208" s="287"/>
      <c r="BE208" s="287"/>
      <c r="BF208" s="287"/>
      <c r="BG208" s="287"/>
      <c r="BH208" s="287"/>
      <c r="BI208" s="287"/>
      <c r="BJ208" s="287"/>
      <c r="BK208" s="287"/>
      <c r="BL208" s="287"/>
      <c r="BM208" s="287"/>
      <c r="BN208" s="287"/>
      <c r="BO208" s="287"/>
      <c r="BP208" s="287"/>
      <c r="BQ208" s="287"/>
      <c r="BR208" s="287"/>
      <c r="BS208" s="287"/>
      <c r="BT208" s="287"/>
      <c r="BU208" s="287"/>
      <c r="BV208" s="287"/>
      <c r="BW208" s="287"/>
      <c r="BX208" s="287"/>
      <c r="BY208" s="287"/>
      <c r="BZ208" s="287"/>
      <c r="CA208" s="287"/>
      <c r="CB208" s="287"/>
      <c r="CC208" s="287"/>
      <c r="CD208" s="287"/>
      <c r="CE208" s="287"/>
      <c r="CF208" s="287"/>
      <c r="CG208" s="287"/>
      <c r="CH208" s="287"/>
      <c r="CI208" s="287"/>
      <c r="CJ208" s="287"/>
      <c r="CK208" s="287"/>
      <c r="CL208" s="287"/>
      <c r="CM208" s="287"/>
      <c r="CN208" s="287"/>
      <c r="CO208" s="287"/>
      <c r="CP208" s="287"/>
      <c r="CQ208" s="287"/>
      <c r="CR208" s="287"/>
      <c r="CS208" s="287"/>
      <c r="CT208" s="287"/>
      <c r="CU208" s="287"/>
      <c r="CV208" s="287"/>
      <c r="CW208" s="287"/>
      <c r="CX208" s="287"/>
      <c r="CY208" s="287"/>
      <c r="CZ208" s="287"/>
      <c r="DA208" s="287"/>
      <c r="DB208" s="287"/>
      <c r="DC208" s="287"/>
      <c r="DD208" s="287"/>
      <c r="DE208" s="287"/>
      <c r="DF208" s="287"/>
      <c r="DG208" s="287"/>
      <c r="DH208" s="287"/>
      <c r="DI208" s="287"/>
      <c r="DJ208" s="287"/>
      <c r="DK208" s="287"/>
      <c r="DL208" s="287"/>
      <c r="DM208" s="287"/>
      <c r="DN208" s="287"/>
      <c r="DO208" s="287"/>
      <c r="DP208" s="287"/>
    </row>
    <row r="209" spans="1:120" s="46" customFormat="1" x14ac:dyDescent="0.25">
      <c r="A209" s="205"/>
      <c r="P209" s="3"/>
      <c r="BA209" s="287"/>
      <c r="BB209" s="287"/>
      <c r="BC209" s="287"/>
      <c r="BD209" s="287"/>
      <c r="BE209" s="287"/>
      <c r="BF209" s="287"/>
      <c r="BG209" s="287"/>
      <c r="BH209" s="287"/>
      <c r="BI209" s="287"/>
      <c r="BJ209" s="287"/>
      <c r="BK209" s="287"/>
      <c r="BL209" s="287"/>
      <c r="BM209" s="287"/>
      <c r="BN209" s="287"/>
      <c r="BO209" s="287"/>
      <c r="BP209" s="287"/>
      <c r="BQ209" s="287"/>
      <c r="BR209" s="287"/>
      <c r="BS209" s="287"/>
      <c r="BT209" s="287"/>
      <c r="BU209" s="287"/>
      <c r="BV209" s="287"/>
      <c r="BW209" s="287"/>
      <c r="BX209" s="287"/>
      <c r="BY209" s="287"/>
      <c r="BZ209" s="287"/>
      <c r="CA209" s="287"/>
      <c r="CB209" s="287"/>
      <c r="CC209" s="287"/>
      <c r="CD209" s="287"/>
      <c r="CE209" s="287"/>
      <c r="CF209" s="287"/>
      <c r="CG209" s="287"/>
      <c r="CH209" s="287"/>
      <c r="CI209" s="287"/>
      <c r="CJ209" s="287"/>
      <c r="CK209" s="287"/>
      <c r="CL209" s="287"/>
      <c r="CM209" s="287"/>
      <c r="CN209" s="287"/>
      <c r="CO209" s="287"/>
      <c r="CP209" s="287"/>
      <c r="CQ209" s="287"/>
      <c r="CR209" s="287"/>
      <c r="CS209" s="287"/>
      <c r="CT209" s="287"/>
      <c r="CU209" s="287"/>
      <c r="CV209" s="287"/>
      <c r="CW209" s="287"/>
      <c r="CX209" s="287"/>
      <c r="CY209" s="287"/>
      <c r="CZ209" s="287"/>
      <c r="DA209" s="287"/>
      <c r="DB209" s="287"/>
      <c r="DC209" s="287"/>
      <c r="DD209" s="287"/>
      <c r="DE209" s="287"/>
      <c r="DF209" s="287"/>
      <c r="DG209" s="287"/>
      <c r="DH209" s="287"/>
      <c r="DI209" s="287"/>
      <c r="DJ209" s="287"/>
      <c r="DK209" s="287"/>
      <c r="DL209" s="287"/>
      <c r="DM209" s="287"/>
      <c r="DN209" s="287"/>
      <c r="DO209" s="287"/>
      <c r="DP209" s="287"/>
    </row>
    <row r="210" spans="1:120" s="46" customFormat="1" ht="32.25" customHeight="1" x14ac:dyDescent="0.25">
      <c r="A210" s="205"/>
      <c r="B210" s="52"/>
      <c r="C210" s="797" t="str">
        <f>IF(G208="No","Was there a RAM completed in the " &amp;D4 &amp;" calendar year?", "")</f>
        <v/>
      </c>
      <c r="D210" s="797"/>
      <c r="E210" s="797"/>
      <c r="F210" s="798"/>
      <c r="G210" s="647"/>
      <c r="H210" s="647"/>
      <c r="J210" s="766" t="str">
        <f>IF(G210="No", "Please Note:  A Resource Assessment Matrix must be 
         completed on an annual basis.", "")</f>
        <v/>
      </c>
      <c r="K210" s="766"/>
      <c r="L210" s="766"/>
      <c r="M210" s="766"/>
      <c r="N210" s="766"/>
      <c r="O210" s="259" t="str">
        <f>IF(P210=1, "&lt;===", "")</f>
        <v/>
      </c>
      <c r="P210" s="364" t="str">
        <f>IF(AND(G208="No",G210="",D432&lt;&gt;""), 1, "")</f>
        <v/>
      </c>
      <c r="BA210" s="287"/>
      <c r="BB210" s="287"/>
      <c r="BC210" s="287"/>
      <c r="BD210" s="287"/>
      <c r="BE210" s="287"/>
      <c r="BF210" s="287"/>
      <c r="BG210" s="287"/>
      <c r="BH210" s="287"/>
      <c r="BI210" s="287"/>
      <c r="BJ210" s="287"/>
      <c r="BK210" s="287"/>
      <c r="BL210" s="287"/>
      <c r="BM210" s="287"/>
      <c r="BN210" s="287"/>
      <c r="BO210" s="287"/>
      <c r="BP210" s="287"/>
      <c r="BQ210" s="287"/>
      <c r="BR210" s="287"/>
      <c r="BS210" s="287"/>
      <c r="BT210" s="287"/>
      <c r="BU210" s="287"/>
      <c r="BV210" s="287"/>
      <c r="BW210" s="287"/>
      <c r="BX210" s="287"/>
      <c r="BY210" s="287"/>
      <c r="BZ210" s="287"/>
      <c r="CA210" s="287"/>
      <c r="CB210" s="287"/>
      <c r="CC210" s="287"/>
      <c r="CD210" s="287"/>
      <c r="CE210" s="287"/>
      <c r="CF210" s="287"/>
      <c r="CG210" s="287"/>
      <c r="CH210" s="287"/>
      <c r="CI210" s="287"/>
      <c r="CJ210" s="287"/>
      <c r="CK210" s="287"/>
      <c r="CL210" s="287"/>
      <c r="CM210" s="287"/>
      <c r="CN210" s="287"/>
      <c r="CO210" s="287"/>
      <c r="CP210" s="287"/>
      <c r="CQ210" s="287"/>
      <c r="CR210" s="287"/>
      <c r="CS210" s="287"/>
      <c r="CT210" s="287"/>
      <c r="CU210" s="287"/>
      <c r="CV210" s="287"/>
      <c r="CW210" s="287"/>
      <c r="CX210" s="287"/>
      <c r="CY210" s="287"/>
      <c r="CZ210" s="287"/>
      <c r="DA210" s="287"/>
      <c r="DB210" s="287"/>
      <c r="DC210" s="287"/>
      <c r="DD210" s="287"/>
      <c r="DE210" s="287"/>
      <c r="DF210" s="287"/>
      <c r="DG210" s="287"/>
      <c r="DH210" s="287"/>
      <c r="DI210" s="287"/>
      <c r="DJ210" s="287"/>
      <c r="DK210" s="287"/>
      <c r="DL210" s="287"/>
      <c r="DM210" s="287"/>
      <c r="DN210" s="287"/>
      <c r="DO210" s="287"/>
      <c r="DP210" s="287"/>
    </row>
    <row r="211" spans="1:120" s="46" customFormat="1" ht="10.5" customHeight="1" x14ac:dyDescent="0.25">
      <c r="A211" s="205"/>
      <c r="P211" s="3"/>
      <c r="BA211" s="287"/>
      <c r="BB211" s="287"/>
      <c r="BC211" s="287"/>
      <c r="BD211" s="287"/>
      <c r="BE211" s="287"/>
      <c r="BF211" s="287"/>
      <c r="BG211" s="287"/>
      <c r="BH211" s="287"/>
      <c r="BI211" s="287"/>
      <c r="BJ211" s="287"/>
      <c r="BK211" s="287"/>
      <c r="BL211" s="287"/>
      <c r="BM211" s="287"/>
      <c r="BN211" s="287"/>
      <c r="BO211" s="287"/>
      <c r="BP211" s="287"/>
      <c r="BQ211" s="287"/>
      <c r="BR211" s="287"/>
      <c r="BS211" s="287"/>
      <c r="BT211" s="287"/>
      <c r="BU211" s="287"/>
      <c r="BV211" s="287"/>
      <c r="BW211" s="287"/>
      <c r="BX211" s="287"/>
      <c r="BY211" s="287"/>
      <c r="BZ211" s="287"/>
      <c r="CA211" s="287"/>
      <c r="CB211" s="287"/>
      <c r="CC211" s="287"/>
      <c r="CD211" s="287"/>
      <c r="CE211" s="287"/>
      <c r="CF211" s="287"/>
      <c r="CG211" s="287"/>
      <c r="CH211" s="287"/>
      <c r="CI211" s="287"/>
      <c r="CJ211" s="287"/>
      <c r="CK211" s="287"/>
      <c r="CL211" s="287"/>
      <c r="CM211" s="287"/>
      <c r="CN211" s="287"/>
      <c r="CO211" s="287"/>
      <c r="CP211" s="287"/>
      <c r="CQ211" s="287"/>
      <c r="CR211" s="287"/>
      <c r="CS211" s="287"/>
      <c r="CT211" s="287"/>
      <c r="CU211" s="287"/>
      <c r="CV211" s="287"/>
      <c r="CW211" s="287"/>
      <c r="CX211" s="287"/>
      <c r="CY211" s="287"/>
      <c r="CZ211" s="287"/>
      <c r="DA211" s="287"/>
      <c r="DB211" s="287"/>
      <c r="DC211" s="287"/>
      <c r="DD211" s="287"/>
      <c r="DE211" s="287"/>
      <c r="DF211" s="287"/>
      <c r="DG211" s="287"/>
      <c r="DH211" s="287"/>
      <c r="DI211" s="287"/>
      <c r="DJ211" s="287"/>
      <c r="DK211" s="287"/>
      <c r="DL211" s="287"/>
      <c r="DM211" s="287"/>
      <c r="DN211" s="287"/>
      <c r="DO211" s="287"/>
      <c r="DP211" s="287"/>
    </row>
    <row r="212" spans="1:120" s="46" customFormat="1" ht="18" customHeight="1" x14ac:dyDescent="0.25">
      <c r="A212" s="205"/>
      <c r="C212" s="797" t="str">
        <f>IF(AND(G208="No",G210="Yes"),"Number of deficient resource categories:", "")</f>
        <v/>
      </c>
      <c r="D212" s="797"/>
      <c r="E212" s="797"/>
      <c r="F212" s="798"/>
      <c r="G212" s="647"/>
      <c r="H212" s="647"/>
      <c r="I212" s="55"/>
      <c r="J212" s="55"/>
      <c r="K212" s="729"/>
      <c r="L212" s="729"/>
      <c r="O212" s="464" t="str">
        <f>IF(P212=1, "&lt;===", "")</f>
        <v/>
      </c>
      <c r="P212" s="364" t="str">
        <f>IF(AND(G208="No",G210="Yes",G212="",D432&lt;&gt;""), 1, "")</f>
        <v/>
      </c>
      <c r="BA212" s="287"/>
      <c r="BB212" s="287"/>
      <c r="BC212" s="287"/>
      <c r="BD212" s="287"/>
      <c r="BE212" s="287"/>
      <c r="BF212" s="287"/>
      <c r="BG212" s="287"/>
      <c r="BH212" s="287"/>
      <c r="BI212" s="287"/>
      <c r="BJ212" s="287"/>
      <c r="BK212" s="287"/>
      <c r="BL212" s="287"/>
      <c r="BM212" s="287"/>
      <c r="BN212" s="287"/>
      <c r="BO212" s="287"/>
      <c r="BP212" s="287"/>
      <c r="BQ212" s="287"/>
      <c r="BR212" s="287"/>
      <c r="BS212" s="287"/>
      <c r="BT212" s="287"/>
      <c r="BU212" s="287"/>
      <c r="BV212" s="287"/>
      <c r="BW212" s="287"/>
      <c r="BX212" s="287"/>
      <c r="BY212" s="287"/>
      <c r="BZ212" s="287"/>
      <c r="CA212" s="287"/>
      <c r="CB212" s="287"/>
      <c r="CC212" s="287"/>
      <c r="CD212" s="287"/>
      <c r="CE212" s="287"/>
      <c r="CF212" s="287"/>
      <c r="CG212" s="287"/>
      <c r="CH212" s="287"/>
      <c r="CI212" s="287"/>
      <c r="CJ212" s="287"/>
      <c r="CK212" s="287"/>
      <c r="CL212" s="287"/>
      <c r="CM212" s="287"/>
      <c r="CN212" s="287"/>
      <c r="CO212" s="287"/>
      <c r="CP212" s="287"/>
      <c r="CQ212" s="287"/>
      <c r="CR212" s="287"/>
      <c r="CS212" s="287"/>
      <c r="CT212" s="287"/>
      <c r="CU212" s="287"/>
      <c r="CV212" s="287"/>
      <c r="CW212" s="287"/>
      <c r="CX212" s="287"/>
      <c r="CY212" s="287"/>
      <c r="CZ212" s="287"/>
      <c r="DA212" s="287"/>
      <c r="DB212" s="287"/>
      <c r="DC212" s="287"/>
      <c r="DD212" s="287"/>
      <c r="DE212" s="287"/>
      <c r="DF212" s="287"/>
      <c r="DG212" s="287"/>
      <c r="DH212" s="287"/>
      <c r="DI212" s="287"/>
      <c r="DJ212" s="287"/>
      <c r="DK212" s="287"/>
      <c r="DL212" s="287"/>
      <c r="DM212" s="287"/>
      <c r="DN212" s="287"/>
      <c r="DO212" s="287"/>
      <c r="DP212" s="287"/>
    </row>
    <row r="213" spans="1:120" s="46" customFormat="1" x14ac:dyDescent="0.25">
      <c r="A213" s="205"/>
      <c r="P213" s="3"/>
      <c r="Q213" s="96"/>
      <c r="R213" s="96"/>
      <c r="S213" s="96"/>
      <c r="T213" s="96"/>
      <c r="BA213" s="287"/>
      <c r="BB213" s="287"/>
      <c r="BC213" s="287"/>
      <c r="BD213" s="287"/>
      <c r="BE213" s="287"/>
      <c r="BF213" s="287"/>
      <c r="BG213" s="287"/>
      <c r="BH213" s="287"/>
      <c r="BI213" s="287"/>
      <c r="BJ213" s="287"/>
      <c r="BK213" s="287"/>
      <c r="BL213" s="287"/>
      <c r="BM213" s="287"/>
      <c r="BN213" s="287"/>
      <c r="BO213" s="287"/>
      <c r="BP213" s="287"/>
      <c r="BQ213" s="287"/>
      <c r="BR213" s="287"/>
      <c r="BS213" s="287"/>
      <c r="BT213" s="287"/>
      <c r="BU213" s="287"/>
      <c r="BV213" s="287"/>
      <c r="BW213" s="287"/>
      <c r="BX213" s="287"/>
      <c r="BY213" s="287"/>
      <c r="BZ213" s="287"/>
      <c r="CA213" s="287"/>
      <c r="CB213" s="287"/>
      <c r="CC213" s="287"/>
      <c r="CD213" s="287"/>
      <c r="CE213" s="287"/>
      <c r="CF213" s="287"/>
      <c r="CG213" s="287"/>
      <c r="CH213" s="287"/>
      <c r="CI213" s="287"/>
      <c r="CJ213" s="287"/>
      <c r="CK213" s="287"/>
      <c r="CL213" s="287"/>
      <c r="CM213" s="287"/>
      <c r="CN213" s="287"/>
      <c r="CO213" s="287"/>
      <c r="CP213" s="287"/>
      <c r="CQ213" s="287"/>
      <c r="CR213" s="287"/>
      <c r="CS213" s="287"/>
      <c r="CT213" s="287"/>
      <c r="CU213" s="287"/>
      <c r="CV213" s="287"/>
      <c r="CW213" s="287"/>
      <c r="CX213" s="287"/>
      <c r="CY213" s="287"/>
      <c r="CZ213" s="287"/>
      <c r="DA213" s="287"/>
      <c r="DB213" s="287"/>
      <c r="DC213" s="287"/>
      <c r="DD213" s="287"/>
      <c r="DE213" s="287"/>
      <c r="DF213" s="287"/>
      <c r="DG213" s="287"/>
      <c r="DH213" s="287"/>
      <c r="DI213" s="287"/>
      <c r="DJ213" s="287"/>
      <c r="DK213" s="287"/>
      <c r="DL213" s="287"/>
      <c r="DM213" s="287"/>
      <c r="DN213" s="287"/>
      <c r="DO213" s="287"/>
      <c r="DP213" s="287"/>
    </row>
    <row r="214" spans="1:120" s="102" customFormat="1" x14ac:dyDescent="0.25">
      <c r="A214" s="205"/>
      <c r="P214" s="3"/>
      <c r="BA214" s="287"/>
      <c r="BB214" s="287"/>
      <c r="BC214" s="287"/>
      <c r="BD214" s="287"/>
      <c r="BE214" s="513"/>
      <c r="BF214" s="287"/>
      <c r="BG214" s="287"/>
      <c r="BH214" s="287"/>
      <c r="BI214" s="287"/>
      <c r="BJ214" s="287"/>
      <c r="BK214" s="287"/>
      <c r="BL214" s="287"/>
      <c r="BM214" s="287"/>
      <c r="BN214" s="287"/>
      <c r="BO214" s="287"/>
      <c r="BP214" s="287"/>
      <c r="BQ214" s="287"/>
      <c r="BR214" s="287"/>
      <c r="BS214" s="287"/>
      <c r="BT214" s="287"/>
      <c r="BU214" s="287"/>
      <c r="BV214" s="287"/>
      <c r="BW214" s="287"/>
      <c r="BX214" s="287"/>
      <c r="BY214" s="287"/>
      <c r="BZ214" s="287"/>
      <c r="CA214" s="287"/>
      <c r="CB214" s="287"/>
      <c r="CC214" s="287"/>
      <c r="CD214" s="287"/>
      <c r="CE214" s="287"/>
      <c r="CF214" s="287"/>
      <c r="CG214" s="287"/>
      <c r="CH214" s="287"/>
      <c r="CI214" s="287"/>
      <c r="CJ214" s="287"/>
      <c r="CK214" s="287"/>
      <c r="CL214" s="287"/>
      <c r="CM214" s="287"/>
      <c r="CN214" s="287"/>
      <c r="CO214" s="287"/>
      <c r="CP214" s="287"/>
      <c r="CQ214" s="287"/>
      <c r="CR214" s="287"/>
      <c r="CS214" s="287"/>
      <c r="CT214" s="287"/>
      <c r="CU214" s="287"/>
      <c r="CV214" s="287"/>
      <c r="CW214" s="287"/>
      <c r="CX214" s="287"/>
      <c r="CY214" s="287"/>
      <c r="CZ214" s="287"/>
      <c r="DA214" s="287"/>
      <c r="DB214" s="287"/>
      <c r="DC214" s="287"/>
      <c r="DD214" s="287"/>
      <c r="DE214" s="287"/>
      <c r="DF214" s="287"/>
      <c r="DG214" s="287"/>
      <c r="DH214" s="287"/>
      <c r="DI214" s="287"/>
      <c r="DJ214" s="287"/>
      <c r="DK214" s="287"/>
      <c r="DL214" s="287"/>
      <c r="DM214" s="287"/>
      <c r="DN214" s="287"/>
      <c r="DO214" s="287"/>
      <c r="DP214" s="287"/>
    </row>
    <row r="215" spans="1:120" s="46" customFormat="1" ht="31.5" customHeight="1" x14ac:dyDescent="0.25">
      <c r="A215" s="205"/>
      <c r="B215" s="52"/>
      <c r="C215" s="630" t="str">
        <f>IF(G212&gt;=1,"Deficient Resource Category #1:", "")</f>
        <v/>
      </c>
      <c r="D215" s="630"/>
      <c r="E215" s="578"/>
      <c r="F215" s="578"/>
      <c r="G215" s="578"/>
      <c r="H215" s="266" t="str">
        <f>IF(H216=1, "&lt;===", "")</f>
        <v/>
      </c>
      <c r="I215" s="579" t="str">
        <f>IF(G212&gt;=6,"Deficient Resource Category #6:", "")</f>
        <v/>
      </c>
      <c r="J215" s="579"/>
      <c r="K215" s="579"/>
      <c r="L215" s="578"/>
      <c r="M215" s="578"/>
      <c r="N215" s="578"/>
      <c r="O215" s="266" t="str">
        <f>IF(O216=1, "&lt;===", "")</f>
        <v/>
      </c>
      <c r="P215" s="468"/>
      <c r="Q215" s="468"/>
      <c r="R215" s="468"/>
      <c r="S215" s="468"/>
      <c r="T215" s="427"/>
      <c r="U215" s="427"/>
      <c r="V215" s="427"/>
      <c r="W215" s="427"/>
      <c r="X215" s="259"/>
      <c r="Y215" s="468"/>
      <c r="Z215" s="468"/>
      <c r="AA215" s="468"/>
      <c r="AB215" s="468"/>
      <c r="AC215" s="427"/>
      <c r="AD215" s="427"/>
      <c r="AE215" s="427"/>
      <c r="AF215" s="427"/>
      <c r="AG215" s="259"/>
      <c r="AI215" s="468"/>
      <c r="AJ215" s="468"/>
      <c r="AK215" s="468"/>
      <c r="AL215" s="468"/>
      <c r="AM215" s="427"/>
      <c r="AN215" s="427"/>
      <c r="AO215" s="427"/>
      <c r="AP215" s="427"/>
      <c r="AQ215" s="259"/>
      <c r="AR215" s="468"/>
      <c r="AS215" s="468"/>
      <c r="AT215" s="468"/>
      <c r="AU215" s="468"/>
      <c r="AV215" s="427"/>
      <c r="AW215" s="427"/>
      <c r="AX215" s="427"/>
      <c r="AY215" s="427"/>
      <c r="AZ215" s="259"/>
      <c r="BA215" s="510"/>
      <c r="BB215" s="510"/>
      <c r="BC215" s="510"/>
      <c r="BD215" s="510"/>
      <c r="BE215" s="513"/>
      <c r="BF215" s="513"/>
      <c r="BG215" s="513"/>
      <c r="BH215" s="513"/>
      <c r="BI215" s="496"/>
      <c r="BJ215" s="510"/>
      <c r="BK215" s="510"/>
      <c r="BL215" s="510"/>
      <c r="BM215" s="510"/>
      <c r="BN215" s="287"/>
      <c r="BO215" s="287"/>
      <c r="BP215" s="287"/>
      <c r="BQ215" s="287"/>
      <c r="BR215" s="496"/>
      <c r="BS215" s="510"/>
      <c r="BT215" s="510"/>
      <c r="BU215" s="510"/>
      <c r="BV215" s="510"/>
      <c r="BW215" s="287"/>
      <c r="BX215" s="287"/>
      <c r="BY215" s="287"/>
      <c r="BZ215" s="287"/>
      <c r="CA215" s="496"/>
      <c r="CB215" s="510"/>
      <c r="CC215" s="510"/>
      <c r="CD215" s="510"/>
      <c r="CE215" s="510"/>
      <c r="CF215" s="287"/>
      <c r="CG215" s="287"/>
      <c r="CH215" s="287"/>
      <c r="CI215" s="287"/>
      <c r="CJ215" s="496"/>
      <c r="CK215" s="504"/>
      <c r="CL215" s="504"/>
      <c r="CM215" s="504"/>
      <c r="CN215" s="504"/>
      <c r="CO215" s="504"/>
      <c r="CP215" s="287"/>
      <c r="CQ215" s="287"/>
      <c r="CR215" s="287"/>
      <c r="CS215" s="287"/>
      <c r="CT215" s="287"/>
      <c r="CU215" s="287"/>
      <c r="CV215" s="287"/>
      <c r="CW215" s="287"/>
      <c r="CX215" s="287"/>
      <c r="CY215" s="287"/>
      <c r="CZ215" s="287"/>
      <c r="DA215" s="287"/>
      <c r="DB215" s="287"/>
      <c r="DC215" s="287"/>
      <c r="DD215" s="287"/>
      <c r="DE215" s="287"/>
      <c r="DF215" s="287"/>
      <c r="DG215" s="287"/>
      <c r="DH215" s="287"/>
      <c r="DI215" s="287"/>
      <c r="DJ215" s="287"/>
      <c r="DK215" s="287"/>
      <c r="DL215" s="287"/>
      <c r="DM215" s="287"/>
      <c r="DN215" s="287"/>
      <c r="DO215" s="287"/>
      <c r="DP215" s="287"/>
    </row>
    <row r="216" spans="1:120" s="46" customFormat="1" ht="12" customHeight="1" x14ac:dyDescent="0.25">
      <c r="A216" s="205"/>
      <c r="C216" s="54"/>
      <c r="D216" s="472"/>
      <c r="E216" s="472"/>
      <c r="F216" s="472"/>
      <c r="G216" s="472"/>
      <c r="H216" s="267" t="str">
        <f>IF(AND(G208="No",G210="Yes",G212&gt;=1,E215="",D432&lt;&gt;""),1,"")</f>
        <v/>
      </c>
      <c r="I216" s="54"/>
      <c r="O216" s="222" t="str">
        <f>IF(AND(G208="No",G210="Yes",G212&gt;=6,L215="",D432&lt;&gt;""),1,"")</f>
        <v/>
      </c>
      <c r="P216" s="412"/>
      <c r="Q216" s="89"/>
      <c r="R216" s="89"/>
      <c r="S216" s="89"/>
      <c r="T216" s="89"/>
      <c r="U216" s="89"/>
      <c r="V216" s="89"/>
      <c r="W216" s="89"/>
      <c r="X216" s="215"/>
      <c r="Y216" s="54"/>
      <c r="Z216" s="89"/>
      <c r="AA216" s="89"/>
      <c r="AB216" s="89"/>
      <c r="AC216" s="89"/>
      <c r="AD216" s="89"/>
      <c r="AE216" s="89"/>
      <c r="AF216" s="89"/>
      <c r="AG216" s="215"/>
      <c r="AH216" s="89"/>
      <c r="AI216" s="54"/>
      <c r="AJ216" s="89"/>
      <c r="AK216" s="89"/>
      <c r="AL216" s="89"/>
      <c r="AM216" s="89"/>
      <c r="AN216" s="89"/>
      <c r="AO216" s="89"/>
      <c r="AP216" s="89"/>
      <c r="AQ216" s="215"/>
      <c r="AR216" s="54"/>
      <c r="AS216" s="89"/>
      <c r="AT216" s="89"/>
      <c r="AU216" s="89"/>
      <c r="AV216" s="89"/>
      <c r="AW216" s="89"/>
      <c r="AX216" s="89"/>
      <c r="AY216" s="89"/>
      <c r="AZ216" s="215"/>
      <c r="BA216" s="511"/>
      <c r="BB216" s="287"/>
      <c r="BC216" s="287"/>
      <c r="BD216" s="287"/>
      <c r="BE216" s="514"/>
      <c r="BF216" s="287"/>
      <c r="BG216" s="287"/>
      <c r="BH216" s="287"/>
      <c r="BI216" s="267"/>
      <c r="BJ216" s="511"/>
      <c r="BK216" s="287"/>
      <c r="BL216" s="287"/>
      <c r="BM216" s="287"/>
      <c r="BN216" s="287"/>
      <c r="BO216" s="287"/>
      <c r="BP216" s="287"/>
      <c r="BQ216" s="287"/>
      <c r="BR216" s="267"/>
      <c r="BS216" s="511"/>
      <c r="BT216" s="287"/>
      <c r="BU216" s="287"/>
      <c r="BV216" s="287"/>
      <c r="BW216" s="287"/>
      <c r="BX216" s="287"/>
      <c r="BY216" s="287"/>
      <c r="BZ216" s="287"/>
      <c r="CA216" s="267"/>
      <c r="CB216" s="511"/>
      <c r="CC216" s="287"/>
      <c r="CD216" s="287"/>
      <c r="CE216" s="287"/>
      <c r="CF216" s="287"/>
      <c r="CG216" s="287"/>
      <c r="CH216" s="287"/>
      <c r="CI216" s="287"/>
      <c r="CJ216" s="267"/>
      <c r="CK216" s="287"/>
      <c r="CL216" s="287"/>
      <c r="CM216" s="287"/>
      <c r="CN216" s="287"/>
      <c r="CO216" s="287"/>
      <c r="CP216" s="287"/>
      <c r="CQ216" s="287"/>
      <c r="CR216" s="287"/>
      <c r="CS216" s="287"/>
      <c r="CT216" s="287"/>
      <c r="CU216" s="287"/>
      <c r="CV216" s="287"/>
      <c r="CW216" s="287"/>
      <c r="CX216" s="287"/>
      <c r="CY216" s="287"/>
      <c r="CZ216" s="287"/>
      <c r="DA216" s="287"/>
      <c r="DB216" s="287"/>
      <c r="DC216" s="287"/>
      <c r="DD216" s="287"/>
      <c r="DE216" s="287"/>
      <c r="DF216" s="287"/>
      <c r="DG216" s="287"/>
      <c r="DH216" s="287"/>
      <c r="DI216" s="287"/>
      <c r="DJ216" s="287"/>
      <c r="DK216" s="287"/>
      <c r="DL216" s="287"/>
      <c r="DM216" s="287"/>
      <c r="DN216" s="287"/>
      <c r="DO216" s="287"/>
      <c r="DP216" s="287"/>
    </row>
    <row r="217" spans="1:120" s="46" customFormat="1" ht="31.5" customHeight="1" x14ac:dyDescent="0.25">
      <c r="A217" s="205"/>
      <c r="C217" s="630" t="str">
        <f>IF($G$212&gt;=2,"Deficient Resource Category #2:", "")</f>
        <v/>
      </c>
      <c r="D217" s="630"/>
      <c r="E217" s="578"/>
      <c r="F217" s="578"/>
      <c r="G217" s="578"/>
      <c r="H217" s="465" t="str">
        <f>IF(H218=1, "&lt;===", "")</f>
        <v/>
      </c>
      <c r="I217" s="579" t="str">
        <f>IF(G212&gt;=7,"Deficient Resource Category #7:", "")</f>
        <v/>
      </c>
      <c r="J217" s="579"/>
      <c r="K217" s="579"/>
      <c r="L217" s="578"/>
      <c r="M217" s="578"/>
      <c r="N217" s="578"/>
      <c r="O217" s="266" t="str">
        <f>IF(O218=1, "&lt;===", "")</f>
        <v/>
      </c>
      <c r="P217" s="412" t="str">
        <f>IF(G212&gt;=3,"Provide a detailed ANALYSIS for category #3 in the box below","")</f>
        <v/>
      </c>
      <c r="Q217" s="89"/>
      <c r="R217" s="89"/>
      <c r="S217" s="89"/>
      <c r="T217" s="89"/>
      <c r="U217" s="89"/>
      <c r="V217" s="89"/>
      <c r="W217" s="89"/>
      <c r="X217" s="89"/>
      <c r="Y217" s="54"/>
      <c r="Z217" s="89"/>
      <c r="AA217" s="89"/>
      <c r="AB217" s="89"/>
      <c r="AC217" s="89"/>
      <c r="AD217" s="89"/>
      <c r="AE217" s="89"/>
      <c r="AF217" s="89"/>
      <c r="AG217" s="89"/>
      <c r="AH217" s="89"/>
      <c r="AI217" s="54"/>
      <c r="AJ217" s="89"/>
      <c r="AK217" s="89"/>
      <c r="AL217" s="89"/>
      <c r="AM217" s="89"/>
      <c r="AN217" s="89"/>
      <c r="AO217" s="89"/>
      <c r="AP217" s="89"/>
      <c r="AQ217" s="89"/>
      <c r="AR217" s="54"/>
      <c r="AS217" s="89"/>
      <c r="AT217" s="89"/>
      <c r="AU217" s="89"/>
      <c r="AV217" s="89"/>
      <c r="AW217" s="89"/>
      <c r="AX217" s="89"/>
      <c r="AY217" s="89"/>
      <c r="AZ217" s="89"/>
      <c r="BA217" s="511"/>
      <c r="BB217" s="287"/>
      <c r="BC217" s="287"/>
      <c r="BD217" s="287"/>
      <c r="BE217" s="287"/>
      <c r="BF217" s="287"/>
      <c r="BG217" s="287"/>
      <c r="BH217" s="287"/>
      <c r="BI217" s="287"/>
      <c r="BJ217" s="511"/>
      <c r="BK217" s="287"/>
      <c r="BL217" s="287"/>
      <c r="BM217" s="287"/>
      <c r="BN217" s="287"/>
      <c r="BO217" s="287"/>
      <c r="BP217" s="287"/>
      <c r="BQ217" s="287"/>
      <c r="BR217" s="287"/>
      <c r="BS217" s="511"/>
      <c r="BT217" s="287"/>
      <c r="BU217" s="287"/>
      <c r="BV217" s="287"/>
      <c r="BW217" s="287"/>
      <c r="BX217" s="287"/>
      <c r="BY217" s="287"/>
      <c r="BZ217" s="287"/>
      <c r="CA217" s="287"/>
      <c r="CB217" s="511"/>
      <c r="CC217" s="287"/>
      <c r="CD217" s="287"/>
      <c r="CE217" s="287"/>
      <c r="CF217" s="287"/>
      <c r="CG217" s="287"/>
      <c r="CH217" s="287"/>
      <c r="CI217" s="287"/>
      <c r="CJ217" s="287"/>
      <c r="CK217" s="287"/>
      <c r="CL217" s="287"/>
      <c r="CM217" s="287"/>
      <c r="CN217" s="287"/>
      <c r="CO217" s="287"/>
      <c r="CP217" s="287"/>
      <c r="CQ217" s="287"/>
      <c r="CR217" s="287"/>
      <c r="CS217" s="287"/>
      <c r="CT217" s="287"/>
      <c r="CU217" s="287"/>
      <c r="CV217" s="287"/>
      <c r="CW217" s="287"/>
      <c r="CX217" s="287"/>
      <c r="CY217" s="287"/>
      <c r="CZ217" s="287"/>
      <c r="DA217" s="287"/>
      <c r="DB217" s="287"/>
      <c r="DC217" s="287"/>
      <c r="DD217" s="287"/>
      <c r="DE217" s="287"/>
      <c r="DF217" s="287"/>
      <c r="DG217" s="287"/>
      <c r="DH217" s="287"/>
      <c r="DI217" s="287"/>
      <c r="DJ217" s="287"/>
      <c r="DK217" s="287"/>
      <c r="DL217" s="287"/>
      <c r="DM217" s="287"/>
      <c r="DN217" s="287"/>
      <c r="DO217" s="287"/>
      <c r="DP217" s="287"/>
    </row>
    <row r="218" spans="1:120" s="46" customFormat="1" ht="12" customHeight="1" x14ac:dyDescent="0.25">
      <c r="A218" s="205"/>
      <c r="C218" s="518"/>
      <c r="D218" s="518"/>
      <c r="E218" s="518"/>
      <c r="F218" s="518"/>
      <c r="G218" s="518"/>
      <c r="H218" s="469" t="str">
        <f>IF(AND(G208="No",G210="Yes",G212&gt;=2,E217="",D432&lt;&gt;""),1,"")</f>
        <v/>
      </c>
      <c r="I218" s="471"/>
      <c r="J218" s="471"/>
      <c r="K218" s="471"/>
      <c r="L218" s="471"/>
      <c r="M218" s="471"/>
      <c r="N218" s="471"/>
      <c r="O218" s="267" t="str">
        <f>IF(AND(G208="No",G210="Yes",G212&gt;=7,L217="",D432&lt;&gt;""),1,"")</f>
        <v/>
      </c>
      <c r="P218" s="471"/>
      <c r="Q218" s="471"/>
      <c r="R218" s="471"/>
      <c r="S218" s="471"/>
      <c r="T218" s="471"/>
      <c r="U218" s="471"/>
      <c r="V218" s="471"/>
      <c r="W218" s="471"/>
      <c r="X218" s="767"/>
      <c r="Y218" s="471"/>
      <c r="Z218" s="471"/>
      <c r="AA218" s="471"/>
      <c r="AB218" s="471"/>
      <c r="AC218" s="471"/>
      <c r="AD218" s="471"/>
      <c r="AE218" s="471"/>
      <c r="AF218" s="471"/>
      <c r="AG218" s="767"/>
      <c r="AH218" s="470"/>
      <c r="AI218" s="470"/>
      <c r="AJ218" s="470"/>
      <c r="AK218" s="470"/>
      <c r="AL218" s="470"/>
      <c r="AM218" s="470"/>
      <c r="AN218" s="470"/>
      <c r="AO218" s="470"/>
      <c r="AP218" s="470"/>
      <c r="AQ218" s="767"/>
      <c r="AR218" s="470"/>
      <c r="AS218" s="470"/>
      <c r="AT218" s="470"/>
      <c r="AU218" s="470"/>
      <c r="AV218" s="470"/>
      <c r="AW218" s="470"/>
      <c r="AX218" s="470"/>
      <c r="AY218" s="470"/>
      <c r="AZ218" s="767"/>
      <c r="BA218" s="470"/>
      <c r="BB218" s="470"/>
      <c r="BC218" s="470"/>
      <c r="BD218" s="470"/>
      <c r="BE218" s="470"/>
      <c r="BF218" s="470"/>
      <c r="BG218" s="470"/>
      <c r="BH218" s="470"/>
      <c r="BI218" s="767"/>
      <c r="BJ218" s="470"/>
      <c r="BK218" s="470"/>
      <c r="BL218" s="470"/>
      <c r="BM218" s="470"/>
      <c r="BN218" s="470"/>
      <c r="BO218" s="470"/>
      <c r="BP218" s="470"/>
      <c r="BQ218" s="470"/>
      <c r="BR218" s="767"/>
      <c r="BS218" s="470"/>
      <c r="BT218" s="470"/>
      <c r="BU218" s="470"/>
      <c r="BV218" s="470"/>
      <c r="BW218" s="470"/>
      <c r="BX218" s="470"/>
      <c r="BY218" s="470"/>
      <c r="BZ218" s="470"/>
      <c r="CA218" s="767"/>
      <c r="CB218" s="470"/>
      <c r="CC218" s="470"/>
      <c r="CD218" s="470"/>
      <c r="CE218" s="470"/>
      <c r="CF218" s="470"/>
      <c r="CG218" s="470"/>
      <c r="CH218" s="470"/>
      <c r="CI218" s="470"/>
      <c r="CJ218" s="767"/>
      <c r="CK218" s="470"/>
      <c r="CL218" s="470"/>
      <c r="CM218" s="470"/>
      <c r="CN218" s="470"/>
      <c r="CO218" s="470"/>
      <c r="CP218" s="287"/>
      <c r="CQ218" s="287"/>
      <c r="CR218" s="287"/>
      <c r="CS218" s="287"/>
      <c r="CT218" s="287"/>
      <c r="CU218" s="287"/>
      <c r="CV218" s="287"/>
      <c r="CW218" s="287"/>
      <c r="CX218" s="287"/>
      <c r="CY218" s="287"/>
      <c r="CZ218" s="287"/>
      <c r="DA218" s="287"/>
      <c r="DB218" s="287"/>
      <c r="DC218" s="287"/>
      <c r="DD218" s="287"/>
      <c r="DE218" s="287"/>
      <c r="DF218" s="287"/>
      <c r="DG218" s="287"/>
      <c r="DH218" s="287"/>
      <c r="DI218" s="287"/>
      <c r="DJ218" s="287"/>
      <c r="DK218" s="287"/>
      <c r="DL218" s="287"/>
      <c r="DM218" s="287"/>
      <c r="DN218" s="287"/>
      <c r="DO218" s="287"/>
      <c r="DP218" s="287"/>
    </row>
    <row r="219" spans="1:120" s="46" customFormat="1" ht="31.5" customHeight="1" x14ac:dyDescent="0.25">
      <c r="A219" s="205"/>
      <c r="C219" s="630" t="str">
        <f>IF(G212&gt;=3,"Deficient Resource Category #3:", "")</f>
        <v/>
      </c>
      <c r="D219" s="630"/>
      <c r="E219" s="578"/>
      <c r="F219" s="578"/>
      <c r="G219" s="578"/>
      <c r="H219" s="465" t="str">
        <f>IF(H220=1, "&lt;===", "")</f>
        <v/>
      </c>
      <c r="I219" s="579" t="str">
        <f>IF(G212&gt;=8,"Deficient Resource Category #8:", "")</f>
        <v/>
      </c>
      <c r="J219" s="579"/>
      <c r="K219" s="579"/>
      <c r="L219" s="578"/>
      <c r="M219" s="578"/>
      <c r="N219" s="578"/>
      <c r="O219" s="266" t="str">
        <f>IF(O220=1, "&lt;===", "")</f>
        <v/>
      </c>
      <c r="P219" s="471"/>
      <c r="Q219" s="471"/>
      <c r="R219" s="471"/>
      <c r="S219" s="471"/>
      <c r="T219" s="471"/>
      <c r="U219" s="471"/>
      <c r="V219" s="471"/>
      <c r="W219" s="471"/>
      <c r="X219" s="767"/>
      <c r="Y219" s="471"/>
      <c r="Z219" s="471"/>
      <c r="AA219" s="471"/>
      <c r="AB219" s="471"/>
      <c r="AC219" s="471"/>
      <c r="AD219" s="471"/>
      <c r="AE219" s="471"/>
      <c r="AF219" s="471"/>
      <c r="AG219" s="767"/>
      <c r="AH219" s="470"/>
      <c r="AI219" s="470"/>
      <c r="AJ219" s="470"/>
      <c r="AK219" s="470"/>
      <c r="AL219" s="470"/>
      <c r="AM219" s="470"/>
      <c r="AN219" s="470"/>
      <c r="AO219" s="470"/>
      <c r="AP219" s="470"/>
      <c r="AQ219" s="767"/>
      <c r="AR219" s="470"/>
      <c r="AS219" s="470"/>
      <c r="AT219" s="470"/>
      <c r="AU219" s="470"/>
      <c r="AV219" s="470"/>
      <c r="AW219" s="470"/>
      <c r="AX219" s="470"/>
      <c r="AY219" s="470"/>
      <c r="AZ219" s="767"/>
      <c r="BA219" s="470"/>
      <c r="BB219" s="470"/>
      <c r="BC219" s="470"/>
      <c r="BD219" s="470"/>
      <c r="BE219" s="470"/>
      <c r="BF219" s="470"/>
      <c r="BG219" s="470"/>
      <c r="BH219" s="470"/>
      <c r="BI219" s="767"/>
      <c r="BJ219" s="470"/>
      <c r="BK219" s="470"/>
      <c r="BL219" s="470"/>
      <c r="BM219" s="470"/>
      <c r="BN219" s="470"/>
      <c r="BO219" s="470"/>
      <c r="BP219" s="470"/>
      <c r="BQ219" s="470"/>
      <c r="BR219" s="767"/>
      <c r="BS219" s="470"/>
      <c r="BT219" s="470"/>
      <c r="BU219" s="470"/>
      <c r="BV219" s="470"/>
      <c r="BW219" s="470"/>
      <c r="BX219" s="470"/>
      <c r="BY219" s="470"/>
      <c r="BZ219" s="470"/>
      <c r="CA219" s="767"/>
      <c r="CB219" s="470"/>
      <c r="CC219" s="470"/>
      <c r="CD219" s="470"/>
      <c r="CE219" s="470"/>
      <c r="CF219" s="470"/>
      <c r="CG219" s="470"/>
      <c r="CH219" s="470"/>
      <c r="CI219" s="470"/>
      <c r="CJ219" s="767"/>
      <c r="CK219" s="470"/>
      <c r="CL219" s="470"/>
      <c r="CM219" s="470"/>
      <c r="CN219" s="470"/>
      <c r="CO219" s="470"/>
      <c r="CP219" s="287"/>
      <c r="CQ219" s="287"/>
      <c r="CR219" s="287"/>
      <c r="CS219" s="287"/>
      <c r="CT219" s="287"/>
      <c r="CU219" s="287"/>
      <c r="CV219" s="287"/>
      <c r="CW219" s="287"/>
      <c r="CX219" s="287"/>
      <c r="CY219" s="287"/>
      <c r="CZ219" s="287"/>
      <c r="DA219" s="287"/>
      <c r="DB219" s="287"/>
      <c r="DC219" s="287"/>
      <c r="DD219" s="287"/>
      <c r="DE219" s="287"/>
      <c r="DF219" s="287"/>
      <c r="DG219" s="287"/>
      <c r="DH219" s="287"/>
      <c r="DI219" s="287"/>
      <c r="DJ219" s="287"/>
      <c r="DK219" s="287"/>
      <c r="DL219" s="287"/>
      <c r="DM219" s="287"/>
      <c r="DN219" s="287"/>
      <c r="DO219" s="287"/>
      <c r="DP219" s="287"/>
    </row>
    <row r="220" spans="1:120" s="287" customFormat="1" ht="12" customHeight="1" x14ac:dyDescent="0.25">
      <c r="A220" s="519"/>
      <c r="C220" s="518"/>
      <c r="D220" s="518"/>
      <c r="E220" s="518"/>
      <c r="F220" s="518"/>
      <c r="G220" s="518"/>
      <c r="H220" s="268" t="str">
        <f>IF(AND(G208="No",G210="Yes",G212&gt;=3,E219="",D432&lt;&gt;""),1,"")</f>
        <v/>
      </c>
      <c r="I220" s="471"/>
      <c r="J220" s="471"/>
      <c r="K220" s="471"/>
      <c r="L220" s="471"/>
      <c r="M220" s="471"/>
      <c r="N220" s="471"/>
      <c r="O220" s="267" t="str">
        <f>IF(AND(G208="No",G210="Yes",G212&gt;=8,L219="",D432&lt;&gt;""),1,"")</f>
        <v/>
      </c>
      <c r="P220" s="471"/>
      <c r="Q220" s="471"/>
      <c r="R220" s="471"/>
      <c r="S220" s="471"/>
      <c r="T220" s="471"/>
      <c r="U220" s="471"/>
      <c r="V220" s="471"/>
      <c r="W220" s="471"/>
      <c r="X220" s="267"/>
      <c r="Y220" s="471"/>
      <c r="Z220" s="471"/>
      <c r="AA220" s="471"/>
      <c r="AB220" s="471"/>
      <c r="AC220" s="471"/>
      <c r="AD220" s="471"/>
      <c r="AE220" s="471"/>
      <c r="AF220" s="471"/>
      <c r="AG220" s="267"/>
      <c r="AH220" s="470"/>
      <c r="AI220" s="470"/>
      <c r="AJ220" s="470"/>
      <c r="AK220" s="470"/>
      <c r="AL220" s="470"/>
      <c r="AM220" s="470"/>
      <c r="AN220" s="470"/>
      <c r="AO220" s="470"/>
      <c r="AP220" s="470"/>
      <c r="AQ220" s="267"/>
      <c r="AR220" s="470"/>
      <c r="AS220" s="470"/>
      <c r="AT220" s="470"/>
      <c r="AU220" s="470"/>
      <c r="AV220" s="470"/>
      <c r="AW220" s="470"/>
      <c r="AX220" s="470"/>
      <c r="AY220" s="470"/>
      <c r="AZ220" s="267"/>
      <c r="BA220" s="470"/>
      <c r="BB220" s="470"/>
      <c r="BC220" s="470"/>
      <c r="BD220" s="470"/>
      <c r="BE220" s="470"/>
      <c r="BF220" s="470"/>
      <c r="BG220" s="470"/>
      <c r="BH220" s="470"/>
      <c r="BI220" s="267"/>
      <c r="BJ220" s="470"/>
      <c r="BK220" s="470"/>
      <c r="BL220" s="470"/>
      <c r="BM220" s="470"/>
      <c r="BN220" s="470"/>
      <c r="BO220" s="470"/>
      <c r="BP220" s="470"/>
      <c r="BQ220" s="470"/>
      <c r="BR220" s="267"/>
      <c r="BS220" s="470"/>
      <c r="BT220" s="470"/>
      <c r="BU220" s="470"/>
      <c r="BV220" s="470"/>
      <c r="BW220" s="470"/>
      <c r="BX220" s="470"/>
      <c r="BY220" s="470"/>
      <c r="BZ220" s="470"/>
      <c r="CA220" s="267"/>
      <c r="CB220" s="470"/>
      <c r="CC220" s="470"/>
      <c r="CD220" s="470"/>
      <c r="CE220" s="470"/>
      <c r="CF220" s="470"/>
      <c r="CG220" s="470"/>
      <c r="CH220" s="470"/>
      <c r="CI220" s="470"/>
      <c r="CJ220" s="267"/>
      <c r="CK220" s="470"/>
      <c r="CL220" s="470"/>
      <c r="CM220" s="470"/>
      <c r="CN220" s="470"/>
      <c r="CO220" s="470"/>
    </row>
    <row r="221" spans="1:120" s="46" customFormat="1" ht="31.5" customHeight="1" x14ac:dyDescent="0.25">
      <c r="A221" s="205"/>
      <c r="C221" s="630" t="str">
        <f>IF(G212&gt;=4,"Deficient Resource Category #4:", "")</f>
        <v/>
      </c>
      <c r="D221" s="630"/>
      <c r="E221" s="578"/>
      <c r="F221" s="578"/>
      <c r="G221" s="578"/>
      <c r="H221" s="465" t="str">
        <f>IF(H222=1, "&lt;===", "")</f>
        <v/>
      </c>
      <c r="I221" s="579" t="str">
        <f>IF(G212&gt;=9,"Deficient Resource Category #9:", "")</f>
        <v/>
      </c>
      <c r="J221" s="579"/>
      <c r="K221" s="579"/>
      <c r="L221" s="578"/>
      <c r="M221" s="578"/>
      <c r="N221" s="578"/>
      <c r="O221" s="266" t="str">
        <f>IF(O222=1, "&lt;===", "")</f>
        <v/>
      </c>
      <c r="P221" s="471"/>
      <c r="Q221" s="471"/>
      <c r="R221" s="471"/>
      <c r="S221" s="471"/>
      <c r="T221" s="471"/>
      <c r="U221" s="471"/>
      <c r="V221" s="471"/>
      <c r="W221" s="471"/>
      <c r="X221" s="470"/>
      <c r="Y221" s="471"/>
      <c r="Z221" s="471"/>
      <c r="AA221" s="471"/>
      <c r="AB221" s="471"/>
      <c r="AC221" s="471"/>
      <c r="AD221" s="471"/>
      <c r="AE221" s="471"/>
      <c r="AF221" s="471"/>
      <c r="AG221" s="470"/>
      <c r="AH221" s="470"/>
      <c r="AI221" s="470"/>
      <c r="AJ221" s="470"/>
      <c r="AK221" s="470"/>
      <c r="AL221" s="470"/>
      <c r="AM221" s="470"/>
      <c r="AN221" s="470"/>
      <c r="AO221" s="470"/>
      <c r="AP221" s="470"/>
      <c r="AQ221" s="470"/>
      <c r="AR221" s="470"/>
      <c r="AS221" s="470"/>
      <c r="AT221" s="470"/>
      <c r="AU221" s="470"/>
      <c r="AV221" s="470"/>
      <c r="AW221" s="470"/>
      <c r="AX221" s="470"/>
      <c r="AY221" s="470"/>
      <c r="AZ221" s="287"/>
      <c r="BA221" s="470"/>
      <c r="BB221" s="470"/>
      <c r="BC221" s="470"/>
      <c r="BD221" s="470"/>
      <c r="BE221" s="470"/>
      <c r="BF221" s="470"/>
      <c r="BG221" s="470"/>
      <c r="BH221" s="470"/>
      <c r="BI221" s="470"/>
      <c r="BJ221" s="470"/>
      <c r="BK221" s="470"/>
      <c r="BL221" s="470"/>
      <c r="BM221" s="470"/>
      <c r="BN221" s="470"/>
      <c r="BO221" s="470"/>
      <c r="BP221" s="470"/>
      <c r="BQ221" s="470"/>
      <c r="BR221" s="287"/>
      <c r="BS221" s="470"/>
      <c r="BT221" s="470"/>
      <c r="BU221" s="470"/>
      <c r="BV221" s="470"/>
      <c r="BW221" s="470"/>
      <c r="BX221" s="470"/>
      <c r="BY221" s="470"/>
      <c r="BZ221" s="470"/>
      <c r="CA221" s="470"/>
      <c r="CB221" s="470"/>
      <c r="CC221" s="470"/>
      <c r="CD221" s="470"/>
      <c r="CE221" s="470"/>
      <c r="CF221" s="470"/>
      <c r="CG221" s="470"/>
      <c r="CH221" s="470"/>
      <c r="CI221" s="470"/>
      <c r="CJ221" s="470"/>
      <c r="CK221" s="470"/>
      <c r="CL221" s="470"/>
      <c r="CM221" s="470"/>
      <c r="CN221" s="470"/>
      <c r="CO221" s="470"/>
      <c r="CP221" s="287"/>
      <c r="CQ221" s="287"/>
      <c r="CR221" s="287"/>
      <c r="CS221" s="287"/>
      <c r="CT221" s="287"/>
      <c r="CU221" s="287"/>
      <c r="CV221" s="287"/>
      <c r="CW221" s="287"/>
      <c r="CX221" s="287"/>
      <c r="CY221" s="287"/>
      <c r="CZ221" s="287"/>
      <c r="DA221" s="287"/>
      <c r="DB221" s="287"/>
      <c r="DC221" s="287"/>
      <c r="DD221" s="287"/>
      <c r="DE221" s="287"/>
      <c r="DF221" s="287"/>
      <c r="DG221" s="287"/>
      <c r="DH221" s="287"/>
      <c r="DI221" s="287"/>
      <c r="DJ221" s="287"/>
      <c r="DK221" s="287"/>
      <c r="DL221" s="287"/>
      <c r="DM221" s="287"/>
      <c r="DN221" s="287"/>
      <c r="DO221" s="287"/>
      <c r="DP221" s="287"/>
    </row>
    <row r="222" spans="1:120" s="287" customFormat="1" ht="12" customHeight="1" x14ac:dyDescent="0.25">
      <c r="A222" s="519"/>
      <c r="C222" s="518"/>
      <c r="D222" s="518"/>
      <c r="E222" s="518"/>
      <c r="F222" s="518"/>
      <c r="G222" s="518"/>
      <c r="H222" s="473" t="str">
        <f>IF(AND(G208="No",G210="Yes",G212&gt;=4,E221="",D432&lt;&gt;""),1,"")</f>
        <v/>
      </c>
      <c r="I222" s="471"/>
      <c r="J222" s="471"/>
      <c r="K222" s="471"/>
      <c r="L222" s="471"/>
      <c r="M222" s="471"/>
      <c r="N222" s="471"/>
      <c r="O222" s="445" t="str">
        <f>IF(AND(G208="No",G210="Yes",G212&gt;=9,L221="",D432&lt;&gt;""),1,"")</f>
        <v/>
      </c>
      <c r="P222" s="471"/>
      <c r="Q222" s="471"/>
      <c r="R222" s="471"/>
      <c r="S222" s="471"/>
      <c r="T222" s="471"/>
      <c r="U222" s="471"/>
      <c r="V222" s="471"/>
      <c r="W222" s="471"/>
      <c r="X222" s="470"/>
      <c r="Y222" s="471"/>
      <c r="Z222" s="471"/>
      <c r="AA222" s="471"/>
      <c r="AB222" s="471"/>
      <c r="AC222" s="471"/>
      <c r="AD222" s="471"/>
      <c r="AE222" s="471"/>
      <c r="AF222" s="471"/>
      <c r="AG222" s="470"/>
      <c r="AH222" s="470"/>
      <c r="AI222" s="470"/>
      <c r="AJ222" s="470"/>
      <c r="AK222" s="470"/>
      <c r="AL222" s="470"/>
      <c r="AM222" s="470"/>
      <c r="AN222" s="470"/>
      <c r="AO222" s="470"/>
      <c r="AP222" s="470"/>
      <c r="AQ222" s="470"/>
      <c r="AR222" s="470"/>
      <c r="AS222" s="470"/>
      <c r="AT222" s="470"/>
      <c r="AU222" s="470"/>
      <c r="AV222" s="470"/>
      <c r="AW222" s="470"/>
      <c r="AX222" s="470"/>
      <c r="AY222" s="470"/>
      <c r="BA222" s="470"/>
      <c r="BB222" s="470"/>
      <c r="BC222" s="470"/>
      <c r="BD222" s="470"/>
      <c r="BE222" s="470"/>
      <c r="BF222" s="470"/>
      <c r="BG222" s="470"/>
      <c r="BH222" s="470"/>
      <c r="BI222" s="470"/>
      <c r="BJ222" s="470"/>
      <c r="BK222" s="470"/>
      <c r="BL222" s="470"/>
      <c r="BM222" s="470"/>
      <c r="BN222" s="470"/>
      <c r="BO222" s="470"/>
      <c r="BP222" s="470"/>
      <c r="BQ222" s="470"/>
      <c r="BS222" s="470"/>
      <c r="BT222" s="470"/>
      <c r="BU222" s="470"/>
      <c r="BV222" s="470"/>
      <c r="BW222" s="470"/>
      <c r="BX222" s="470"/>
      <c r="BY222" s="470"/>
      <c r="BZ222" s="470"/>
      <c r="CA222" s="470"/>
      <c r="CB222" s="470"/>
      <c r="CC222" s="470"/>
      <c r="CD222" s="470"/>
      <c r="CE222" s="470"/>
      <c r="CF222" s="470"/>
      <c r="CG222" s="470"/>
      <c r="CH222" s="470"/>
      <c r="CI222" s="470"/>
      <c r="CJ222" s="470"/>
      <c r="CK222" s="470"/>
      <c r="CL222" s="470"/>
      <c r="CM222" s="470"/>
      <c r="CN222" s="470"/>
      <c r="CO222" s="470"/>
    </row>
    <row r="223" spans="1:120" s="46" customFormat="1" ht="31.5" customHeight="1" x14ac:dyDescent="0.25">
      <c r="A223" s="205"/>
      <c r="C223" s="630" t="str">
        <f>IF(G212&gt;=5,"Deficient Resource Category #5:", "")</f>
        <v/>
      </c>
      <c r="D223" s="630"/>
      <c r="E223" s="578"/>
      <c r="F223" s="578"/>
      <c r="G223" s="578"/>
      <c r="H223" s="465" t="str">
        <f>IF(H224=1, "&lt;===", "")</f>
        <v/>
      </c>
      <c r="I223" s="579" t="str">
        <f>IF(G212&gt;=10,"Deficient Resource Category #10:", "")</f>
        <v/>
      </c>
      <c r="J223" s="579"/>
      <c r="K223" s="579"/>
      <c r="L223" s="578"/>
      <c r="M223" s="578"/>
      <c r="N223" s="578"/>
      <c r="O223" s="266" t="str">
        <f>IF(O224=1, "&lt;===", "")</f>
        <v/>
      </c>
      <c r="P223" s="471"/>
      <c r="Q223" s="471"/>
      <c r="R223" s="471"/>
      <c r="S223" s="471"/>
      <c r="T223" s="471"/>
      <c r="U223" s="471"/>
      <c r="V223" s="471"/>
      <c r="W223" s="471"/>
      <c r="X223" s="470"/>
      <c r="Y223" s="471"/>
      <c r="Z223" s="471"/>
      <c r="AA223" s="471"/>
      <c r="AB223" s="471"/>
      <c r="AC223" s="471"/>
      <c r="AD223" s="471"/>
      <c r="AE223" s="471"/>
      <c r="AF223" s="471"/>
      <c r="AG223" s="470"/>
      <c r="AH223" s="470"/>
      <c r="AI223" s="470"/>
      <c r="AJ223" s="470"/>
      <c r="AK223" s="470"/>
      <c r="AL223" s="470"/>
      <c r="AM223" s="470"/>
      <c r="AN223" s="470"/>
      <c r="AO223" s="470"/>
      <c r="AP223" s="470"/>
      <c r="AQ223" s="470"/>
      <c r="AR223" s="470"/>
      <c r="AS223" s="470"/>
      <c r="AT223" s="470"/>
      <c r="AU223" s="470"/>
      <c r="AV223" s="470"/>
      <c r="AW223" s="470"/>
      <c r="AX223" s="470"/>
      <c r="AY223" s="470"/>
      <c r="AZ223" s="287"/>
      <c r="BA223" s="470"/>
      <c r="BB223" s="470"/>
      <c r="BC223" s="470"/>
      <c r="BD223" s="470"/>
      <c r="BE223" s="470"/>
      <c r="BF223" s="470"/>
      <c r="BG223" s="470"/>
      <c r="BH223" s="470"/>
      <c r="BI223" s="470"/>
      <c r="BJ223" s="470"/>
      <c r="BK223" s="470"/>
      <c r="BL223" s="470"/>
      <c r="BM223" s="470"/>
      <c r="BN223" s="470"/>
      <c r="BO223" s="470"/>
      <c r="BP223" s="470"/>
      <c r="BQ223" s="470"/>
      <c r="BR223" s="287"/>
      <c r="BS223" s="470"/>
      <c r="BT223" s="470"/>
      <c r="BU223" s="470"/>
      <c r="BV223" s="470"/>
      <c r="BW223" s="470"/>
      <c r="BX223" s="470"/>
      <c r="BY223" s="470"/>
      <c r="BZ223" s="470"/>
      <c r="CA223" s="470"/>
      <c r="CB223" s="470"/>
      <c r="CC223" s="470"/>
      <c r="CD223" s="470"/>
      <c r="CE223" s="470"/>
      <c r="CF223" s="470"/>
      <c r="CG223" s="470"/>
      <c r="CH223" s="470"/>
      <c r="CI223" s="470"/>
      <c r="CJ223" s="470"/>
      <c r="CK223" s="470"/>
      <c r="CL223" s="470"/>
      <c r="CM223" s="470"/>
      <c r="CN223" s="470"/>
      <c r="CO223" s="470"/>
      <c r="CP223" s="287"/>
      <c r="CQ223" s="287"/>
      <c r="CR223" s="287"/>
      <c r="CS223" s="287"/>
      <c r="CT223" s="287"/>
      <c r="CU223" s="287"/>
      <c r="CV223" s="287"/>
      <c r="CW223" s="287"/>
      <c r="CX223" s="287"/>
      <c r="CY223" s="287"/>
      <c r="CZ223" s="287"/>
      <c r="DA223" s="287"/>
      <c r="DB223" s="287"/>
      <c r="DC223" s="287"/>
      <c r="DD223" s="287"/>
      <c r="DE223" s="287"/>
      <c r="DF223" s="287"/>
      <c r="DG223" s="287"/>
      <c r="DH223" s="287"/>
      <c r="DI223" s="287"/>
      <c r="DJ223" s="287"/>
      <c r="DK223" s="287"/>
      <c r="DL223" s="287"/>
      <c r="DM223" s="287"/>
      <c r="DN223" s="287"/>
      <c r="DO223" s="287"/>
      <c r="DP223" s="287"/>
    </row>
    <row r="224" spans="1:120" s="287" customFormat="1" ht="12" customHeight="1" x14ac:dyDescent="0.25">
      <c r="A224" s="519"/>
      <c r="C224" s="518"/>
      <c r="D224" s="518"/>
      <c r="E224" s="518"/>
      <c r="F224" s="518"/>
      <c r="G224" s="518"/>
      <c r="H224" s="473" t="str">
        <f>IF(AND(G208="No",G210="Yes",G212&gt;=5,E223="",D432&lt;&gt;""),1,"")</f>
        <v/>
      </c>
      <c r="I224" s="471"/>
      <c r="J224" s="471"/>
      <c r="K224" s="471"/>
      <c r="L224" s="471"/>
      <c r="M224" s="471"/>
      <c r="N224" s="471"/>
      <c r="O224" s="445" t="str">
        <f>IF(AND(G208="No",G210="Yes",G212&gt;=10,L223="",D432&lt;&gt;""),1,"")</f>
        <v/>
      </c>
      <c r="P224" s="471"/>
      <c r="Q224" s="471"/>
      <c r="R224" s="471"/>
      <c r="S224" s="471"/>
      <c r="T224" s="471"/>
      <c r="U224" s="471"/>
      <c r="V224" s="471"/>
      <c r="W224" s="471"/>
      <c r="X224" s="470"/>
      <c r="Y224" s="471"/>
      <c r="Z224" s="471"/>
      <c r="AA224" s="471"/>
      <c r="AB224" s="471"/>
      <c r="AC224" s="471"/>
      <c r="AD224" s="471"/>
      <c r="AE224" s="471"/>
      <c r="AF224" s="471"/>
      <c r="AG224" s="470"/>
      <c r="AH224" s="470"/>
      <c r="AI224" s="470"/>
      <c r="AJ224" s="470"/>
      <c r="AK224" s="470"/>
      <c r="AL224" s="470"/>
      <c r="AM224" s="470"/>
      <c r="AN224" s="470"/>
      <c r="AO224" s="470"/>
      <c r="AP224" s="470"/>
      <c r="AQ224" s="470"/>
      <c r="AR224" s="470"/>
      <c r="AS224" s="470"/>
      <c r="AT224" s="470"/>
      <c r="AU224" s="470"/>
      <c r="AV224" s="470"/>
      <c r="AW224" s="470"/>
      <c r="AX224" s="470"/>
      <c r="AY224" s="470"/>
      <c r="BA224" s="470"/>
      <c r="BB224" s="470"/>
      <c r="BC224" s="470"/>
      <c r="BD224" s="470"/>
      <c r="BE224" s="470"/>
      <c r="BF224" s="470"/>
      <c r="BG224" s="470"/>
      <c r="BH224" s="470"/>
      <c r="BI224" s="470"/>
      <c r="BJ224" s="470"/>
      <c r="BK224" s="470"/>
      <c r="BL224" s="470"/>
      <c r="BM224" s="470"/>
      <c r="BN224" s="470"/>
      <c r="BO224" s="470"/>
      <c r="BP224" s="470"/>
      <c r="BQ224" s="470"/>
      <c r="BS224" s="470"/>
      <c r="BT224" s="470"/>
      <c r="BU224" s="470"/>
      <c r="BV224" s="470"/>
      <c r="BW224" s="470"/>
      <c r="BX224" s="470"/>
      <c r="BY224" s="470"/>
      <c r="BZ224" s="470"/>
      <c r="CA224" s="470"/>
      <c r="CB224" s="470"/>
      <c r="CC224" s="470"/>
      <c r="CD224" s="470"/>
      <c r="CE224" s="470"/>
      <c r="CF224" s="470"/>
      <c r="CG224" s="470"/>
      <c r="CH224" s="470"/>
      <c r="CI224" s="470"/>
      <c r="CJ224" s="470"/>
      <c r="CK224" s="470"/>
      <c r="CL224" s="470"/>
      <c r="CM224" s="470"/>
      <c r="CN224" s="470"/>
      <c r="CO224" s="470"/>
    </row>
    <row r="225" spans="1:120" s="287" customFormat="1" ht="31.5" customHeight="1" x14ac:dyDescent="0.25">
      <c r="A225" s="519"/>
      <c r="E225" s="631"/>
      <c r="F225" s="631"/>
      <c r="G225" s="631"/>
      <c r="H225" s="470"/>
      <c r="I225" s="471"/>
      <c r="J225" s="471"/>
      <c r="K225" s="471"/>
      <c r="L225" s="471"/>
      <c r="M225" s="471"/>
      <c r="N225" s="471"/>
      <c r="O225" s="470"/>
      <c r="P225" s="471"/>
      <c r="Q225" s="471"/>
      <c r="R225" s="471"/>
      <c r="S225" s="471"/>
      <c r="T225" s="471"/>
      <c r="U225" s="471"/>
      <c r="V225" s="471"/>
      <c r="W225" s="471"/>
      <c r="X225" s="470"/>
      <c r="Y225" s="471"/>
      <c r="Z225" s="471"/>
      <c r="AA225" s="471"/>
      <c r="AB225" s="471"/>
      <c r="AC225" s="471"/>
      <c r="AD225" s="471"/>
      <c r="AE225" s="471"/>
      <c r="AF225" s="471"/>
      <c r="AG225" s="470"/>
      <c r="AH225" s="470"/>
      <c r="AI225" s="470"/>
      <c r="AJ225" s="470"/>
      <c r="AK225" s="470"/>
      <c r="AL225" s="470"/>
      <c r="AM225" s="470"/>
      <c r="AN225" s="470"/>
      <c r="AO225" s="470"/>
      <c r="AP225" s="470"/>
      <c r="AQ225" s="470"/>
      <c r="AR225" s="470"/>
      <c r="AS225" s="470"/>
      <c r="AT225" s="470"/>
      <c r="AU225" s="470"/>
      <c r="AV225" s="470"/>
      <c r="AW225" s="470"/>
      <c r="AX225" s="470"/>
      <c r="AY225" s="470"/>
      <c r="BA225" s="470"/>
      <c r="BB225" s="470"/>
      <c r="BC225" s="470"/>
      <c r="BD225" s="470"/>
      <c r="BE225" s="470"/>
      <c r="BF225" s="470"/>
      <c r="BG225" s="470"/>
      <c r="BH225" s="470"/>
      <c r="BI225" s="470"/>
      <c r="BJ225" s="470"/>
      <c r="BK225" s="470"/>
      <c r="BL225" s="470"/>
      <c r="BM225" s="470"/>
      <c r="BN225" s="470"/>
      <c r="BO225" s="470"/>
      <c r="BP225" s="470"/>
      <c r="BQ225" s="470"/>
      <c r="BS225" s="470"/>
      <c r="BT225" s="470"/>
      <c r="BU225" s="470"/>
      <c r="BV225" s="470"/>
      <c r="BW225" s="470"/>
      <c r="BX225" s="470"/>
      <c r="BY225" s="470"/>
      <c r="BZ225" s="470"/>
      <c r="CA225" s="470"/>
      <c r="CB225" s="470"/>
      <c r="CC225" s="470"/>
      <c r="CD225" s="470"/>
      <c r="CE225" s="470"/>
      <c r="CF225" s="470"/>
      <c r="CG225" s="470"/>
      <c r="CH225" s="470"/>
      <c r="CI225" s="470"/>
      <c r="CJ225" s="470"/>
      <c r="CK225" s="470"/>
      <c r="CL225" s="470"/>
      <c r="CM225" s="470"/>
      <c r="CN225" s="470"/>
      <c r="CO225" s="470"/>
    </row>
    <row r="226" spans="1:120" s="287" customFormat="1" ht="12" customHeight="1" x14ac:dyDescent="0.25">
      <c r="A226" s="519"/>
      <c r="C226" s="518"/>
      <c r="D226" s="518"/>
      <c r="E226" s="518"/>
      <c r="F226" s="518"/>
      <c r="G226" s="518"/>
      <c r="H226" s="470"/>
      <c r="I226" s="471"/>
      <c r="J226" s="471"/>
      <c r="K226" s="471"/>
      <c r="L226" s="471"/>
      <c r="M226" s="471"/>
      <c r="N226" s="471"/>
      <c r="O226" s="470"/>
      <c r="P226" s="471"/>
      <c r="Q226" s="471"/>
      <c r="R226" s="471"/>
      <c r="S226" s="471"/>
      <c r="T226" s="471"/>
      <c r="U226" s="471"/>
      <c r="V226" s="471"/>
      <c r="W226" s="471"/>
      <c r="X226" s="470"/>
      <c r="Y226" s="471"/>
      <c r="Z226" s="471"/>
      <c r="AA226" s="471"/>
      <c r="AB226" s="471"/>
      <c r="AC226" s="471"/>
      <c r="AD226" s="471"/>
      <c r="AE226" s="471"/>
      <c r="AF226" s="471"/>
      <c r="AG226" s="470"/>
      <c r="AH226" s="470"/>
      <c r="AI226" s="470"/>
      <c r="AJ226" s="470"/>
      <c r="AK226" s="470"/>
      <c r="AL226" s="470"/>
      <c r="AM226" s="470"/>
      <c r="AN226" s="470"/>
      <c r="AO226" s="470"/>
      <c r="AP226" s="470"/>
      <c r="AQ226" s="470"/>
      <c r="AR226" s="470"/>
      <c r="AS226" s="470"/>
      <c r="AT226" s="470"/>
      <c r="AU226" s="470"/>
      <c r="AV226" s="470"/>
      <c r="AW226" s="470"/>
      <c r="AX226" s="470"/>
      <c r="AY226" s="470"/>
      <c r="BA226" s="470"/>
      <c r="BB226" s="470"/>
      <c r="BC226" s="470"/>
      <c r="BD226" s="470"/>
      <c r="BE226" s="470"/>
      <c r="BF226" s="470"/>
      <c r="BG226" s="470"/>
      <c r="BH226" s="470"/>
      <c r="BI226" s="470"/>
      <c r="BJ226" s="470"/>
      <c r="BK226" s="470"/>
      <c r="BL226" s="470"/>
      <c r="BM226" s="470"/>
      <c r="BN226" s="470"/>
      <c r="BO226" s="470"/>
      <c r="BP226" s="470"/>
      <c r="BQ226" s="470"/>
      <c r="BS226" s="470"/>
      <c r="BT226" s="470"/>
      <c r="BU226" s="470"/>
      <c r="BV226" s="470"/>
      <c r="BW226" s="470"/>
      <c r="BX226" s="470"/>
      <c r="BY226" s="470"/>
      <c r="BZ226" s="470"/>
      <c r="CA226" s="470"/>
      <c r="CB226" s="470"/>
      <c r="CC226" s="470"/>
      <c r="CD226" s="470"/>
      <c r="CE226" s="470"/>
      <c r="CF226" s="470"/>
      <c r="CG226" s="470"/>
      <c r="CH226" s="470"/>
      <c r="CI226" s="470"/>
      <c r="CJ226" s="470"/>
      <c r="CK226" s="470"/>
      <c r="CL226" s="470"/>
      <c r="CM226" s="470"/>
      <c r="CN226" s="470"/>
      <c r="CO226" s="470"/>
    </row>
    <row r="227" spans="1:120" s="287" customFormat="1" ht="31.5" customHeight="1" x14ac:dyDescent="0.25">
      <c r="A227" s="519"/>
      <c r="C227" s="580" t="str">
        <f>IF(G210="No","Provide an explanation why the RAM was not completed in the "&amp;D4&amp;" calendar year in the box below:",IF(OR(G208="Yes",G210="Yes"),"                    The RAM section is complete. Scroll down to complete the General Information questions.",""))</f>
        <v/>
      </c>
      <c r="D227" s="580"/>
      <c r="E227" s="580"/>
      <c r="F227" s="580"/>
      <c r="G227" s="580"/>
      <c r="H227" s="580"/>
      <c r="I227" s="580"/>
      <c r="J227" s="580"/>
      <c r="K227" s="580"/>
      <c r="L227" s="471"/>
      <c r="M227" s="471"/>
      <c r="N227" s="471"/>
      <c r="O227" s="470"/>
      <c r="P227" s="471"/>
      <c r="Q227" s="471"/>
      <c r="R227" s="471"/>
      <c r="S227" s="471"/>
      <c r="T227" s="471"/>
      <c r="U227" s="471"/>
      <c r="V227" s="471"/>
      <c r="W227" s="471"/>
      <c r="X227" s="470"/>
      <c r="Y227" s="471"/>
      <c r="Z227" s="471"/>
      <c r="AA227" s="471"/>
      <c r="AB227" s="471"/>
      <c r="AC227" s="471"/>
      <c r="AD227" s="471"/>
      <c r="AE227" s="471"/>
      <c r="AF227" s="471"/>
      <c r="AG227" s="470"/>
      <c r="AH227" s="470"/>
      <c r="AI227" s="470"/>
      <c r="AJ227" s="470"/>
      <c r="AK227" s="470"/>
      <c r="AL227" s="470"/>
      <c r="AM227" s="470"/>
      <c r="AN227" s="470"/>
      <c r="AO227" s="470"/>
      <c r="AP227" s="470"/>
      <c r="AQ227" s="470"/>
      <c r="AR227" s="470"/>
      <c r="AS227" s="470"/>
      <c r="AT227" s="470"/>
      <c r="AU227" s="470"/>
      <c r="AV227" s="470"/>
      <c r="AW227" s="470"/>
      <c r="AX227" s="470"/>
      <c r="AY227" s="470"/>
      <c r="BA227" s="470"/>
      <c r="BB227" s="470"/>
      <c r="BC227" s="470"/>
      <c r="BD227" s="470"/>
      <c r="BE227" s="470"/>
      <c r="BF227" s="470"/>
      <c r="BG227" s="470"/>
      <c r="BH227" s="470"/>
      <c r="BI227" s="470"/>
      <c r="BJ227" s="470"/>
      <c r="BK227" s="470"/>
      <c r="BL227" s="470"/>
      <c r="BM227" s="470"/>
      <c r="BN227" s="470"/>
      <c r="BO227" s="470"/>
      <c r="BP227" s="470"/>
      <c r="BQ227" s="470"/>
      <c r="BS227" s="470"/>
      <c r="BT227" s="470"/>
      <c r="BU227" s="470"/>
      <c r="BV227" s="470"/>
      <c r="BW227" s="470"/>
      <c r="BX227" s="470"/>
      <c r="BY227" s="470"/>
      <c r="BZ227" s="470"/>
      <c r="CA227" s="470"/>
      <c r="CB227" s="470"/>
      <c r="CC227" s="470"/>
      <c r="CD227" s="470"/>
      <c r="CE227" s="470"/>
      <c r="CF227" s="470"/>
      <c r="CG227" s="470"/>
      <c r="CH227" s="470"/>
      <c r="CI227" s="470"/>
      <c r="CJ227" s="470"/>
      <c r="CK227" s="470"/>
      <c r="CL227" s="470"/>
      <c r="CM227" s="470"/>
      <c r="CN227" s="470"/>
      <c r="CO227" s="470"/>
    </row>
    <row r="228" spans="1:120" s="46" customFormat="1" ht="21" customHeight="1" x14ac:dyDescent="0.25">
      <c r="A228" s="205"/>
      <c r="C228" s="581"/>
      <c r="D228" s="581"/>
      <c r="E228" s="581"/>
      <c r="F228" s="581"/>
      <c r="G228" s="581"/>
      <c r="H228" s="581"/>
      <c r="I228" s="581"/>
      <c r="J228" s="581"/>
      <c r="K228" s="581"/>
      <c r="L228" s="581"/>
      <c r="M228" s="581"/>
      <c r="N228" s="581"/>
      <c r="O228" s="481" t="str">
        <f>IF(P228=1, "&lt;===", "")</f>
        <v/>
      </c>
      <c r="P228" s="486" t="str">
        <f>IF(AND(G208="No",G210="No",C228="",D432&lt;&gt;""), 1, "")</f>
        <v/>
      </c>
      <c r="Q228" s="471"/>
      <c r="R228" s="471"/>
      <c r="S228" s="471"/>
      <c r="T228" s="471"/>
      <c r="U228" s="471"/>
      <c r="V228" s="471"/>
      <c r="W228" s="471"/>
      <c r="X228" s="470"/>
      <c r="Y228" s="471"/>
      <c r="Z228" s="471"/>
      <c r="AA228" s="471"/>
      <c r="AB228" s="471"/>
      <c r="AC228" s="471"/>
      <c r="AD228" s="471"/>
      <c r="AE228" s="471"/>
      <c r="AF228" s="471"/>
      <c r="AG228" s="470"/>
      <c r="AH228" s="470"/>
      <c r="AI228" s="470"/>
      <c r="AJ228" s="470"/>
      <c r="AK228" s="470"/>
      <c r="AL228" s="470"/>
      <c r="AM228" s="470"/>
      <c r="AN228" s="470"/>
      <c r="AO228" s="470"/>
      <c r="AP228" s="470"/>
      <c r="AQ228" s="470"/>
      <c r="AR228" s="470"/>
      <c r="AS228" s="470"/>
      <c r="AT228" s="470"/>
      <c r="AU228" s="470"/>
      <c r="AV228" s="470"/>
      <c r="AW228" s="470"/>
      <c r="AX228" s="470"/>
      <c r="AY228" s="470"/>
      <c r="AZ228" s="287"/>
      <c r="BA228" s="470"/>
      <c r="BB228" s="470"/>
      <c r="BC228" s="470"/>
      <c r="BD228" s="470"/>
      <c r="BE228" s="470"/>
      <c r="BF228" s="470"/>
      <c r="BG228" s="470"/>
      <c r="BH228" s="470"/>
      <c r="BI228" s="470"/>
      <c r="BJ228" s="470"/>
      <c r="BK228" s="470"/>
      <c r="BL228" s="470"/>
      <c r="BM228" s="470"/>
      <c r="BN228" s="470"/>
      <c r="BO228" s="470"/>
      <c r="BP228" s="470"/>
      <c r="BQ228" s="470"/>
      <c r="BR228" s="287"/>
      <c r="BS228" s="470"/>
      <c r="BT228" s="470"/>
      <c r="BU228" s="470"/>
      <c r="BV228" s="470"/>
      <c r="BW228" s="470"/>
      <c r="BX228" s="470"/>
      <c r="BY228" s="470"/>
      <c r="BZ228" s="470"/>
      <c r="CA228" s="470"/>
      <c r="CB228" s="470"/>
      <c r="CC228" s="470"/>
      <c r="CD228" s="470"/>
      <c r="CE228" s="470"/>
      <c r="CF228" s="470"/>
      <c r="CG228" s="470"/>
      <c r="CH228" s="470"/>
      <c r="CI228" s="470"/>
      <c r="CJ228" s="470"/>
      <c r="CK228" s="470"/>
      <c r="CL228" s="470"/>
      <c r="CM228" s="470"/>
      <c r="CN228" s="470"/>
      <c r="CO228" s="470"/>
      <c r="CP228" s="287"/>
      <c r="CQ228" s="287"/>
      <c r="CR228" s="287"/>
      <c r="CS228" s="287"/>
      <c r="CT228" s="287"/>
      <c r="CU228" s="287"/>
      <c r="CV228" s="287"/>
      <c r="CW228" s="287"/>
      <c r="CX228" s="287"/>
      <c r="CY228" s="287"/>
      <c r="CZ228" s="287"/>
      <c r="DA228" s="287"/>
      <c r="DB228" s="287"/>
      <c r="DC228" s="287"/>
      <c r="DD228" s="287"/>
      <c r="DE228" s="287"/>
      <c r="DF228" s="287"/>
      <c r="DG228" s="287"/>
      <c r="DH228" s="287"/>
      <c r="DI228" s="287"/>
      <c r="DJ228" s="287"/>
      <c r="DK228" s="287"/>
      <c r="DL228" s="287"/>
      <c r="DM228" s="287"/>
      <c r="DN228" s="287"/>
      <c r="DO228" s="287"/>
      <c r="DP228" s="287"/>
    </row>
    <row r="229" spans="1:120" s="46" customFormat="1" ht="31.5" customHeight="1" x14ac:dyDescent="0.25">
      <c r="A229" s="205"/>
      <c r="C229" s="581"/>
      <c r="D229" s="581"/>
      <c r="E229" s="581"/>
      <c r="F229" s="581"/>
      <c r="G229" s="581"/>
      <c r="H229" s="581"/>
      <c r="I229" s="581"/>
      <c r="J229" s="581"/>
      <c r="K229" s="581"/>
      <c r="L229" s="581"/>
      <c r="M229" s="581"/>
      <c r="N229" s="581"/>
      <c r="O229" s="470"/>
      <c r="P229" s="471"/>
      <c r="Q229" s="471"/>
      <c r="R229" s="471"/>
      <c r="S229" s="471"/>
      <c r="T229" s="471"/>
      <c r="U229" s="471"/>
      <c r="V229" s="471"/>
      <c r="W229" s="471"/>
      <c r="X229" s="470"/>
      <c r="Y229" s="471"/>
      <c r="Z229" s="471"/>
      <c r="AA229" s="471"/>
      <c r="AB229" s="471"/>
      <c r="AC229" s="471"/>
      <c r="AD229" s="471"/>
      <c r="AE229" s="471"/>
      <c r="AF229" s="471"/>
      <c r="AG229" s="470"/>
      <c r="AH229" s="470"/>
      <c r="AI229" s="470"/>
      <c r="AJ229" s="470"/>
      <c r="AK229" s="470"/>
      <c r="AL229" s="470"/>
      <c r="AM229" s="470"/>
      <c r="AN229" s="470"/>
      <c r="AO229" s="470"/>
      <c r="AP229" s="470"/>
      <c r="AQ229" s="470"/>
      <c r="AR229" s="470"/>
      <c r="AS229" s="470"/>
      <c r="AT229" s="470"/>
      <c r="AU229" s="470"/>
      <c r="AV229" s="470"/>
      <c r="AW229" s="470"/>
      <c r="AX229" s="470"/>
      <c r="AY229" s="470"/>
      <c r="AZ229" s="287"/>
      <c r="BA229" s="470"/>
      <c r="BB229" s="470"/>
      <c r="BC229" s="470"/>
      <c r="BD229" s="470"/>
      <c r="BE229" s="470"/>
      <c r="BF229" s="470"/>
      <c r="BG229" s="470"/>
      <c r="BH229" s="470"/>
      <c r="BI229" s="470"/>
      <c r="BJ229" s="470"/>
      <c r="BK229" s="470"/>
      <c r="BL229" s="470"/>
      <c r="BM229" s="470"/>
      <c r="BN229" s="470"/>
      <c r="BO229" s="470"/>
      <c r="BP229" s="470"/>
      <c r="BQ229" s="470"/>
      <c r="BR229" s="287"/>
      <c r="BS229" s="470"/>
      <c r="BT229" s="470"/>
      <c r="BU229" s="470"/>
      <c r="BV229" s="470"/>
      <c r="BW229" s="470"/>
      <c r="BX229" s="470"/>
      <c r="BY229" s="470"/>
      <c r="BZ229" s="470"/>
      <c r="CA229" s="470"/>
      <c r="CB229" s="470"/>
      <c r="CC229" s="470"/>
      <c r="CD229" s="470"/>
      <c r="CE229" s="470"/>
      <c r="CF229" s="470"/>
      <c r="CG229" s="470"/>
      <c r="CH229" s="470"/>
      <c r="CI229" s="470"/>
      <c r="CJ229" s="470"/>
      <c r="CK229" s="470"/>
      <c r="CL229" s="470"/>
      <c r="CM229" s="470"/>
      <c r="CN229" s="470"/>
      <c r="CO229" s="470"/>
      <c r="CP229" s="287"/>
      <c r="CQ229" s="287"/>
      <c r="CR229" s="287"/>
      <c r="CS229" s="287"/>
      <c r="CT229" s="287"/>
      <c r="CU229" s="287"/>
      <c r="CV229" s="287"/>
      <c r="CW229" s="287"/>
      <c r="CX229" s="287"/>
      <c r="CY229" s="287"/>
      <c r="CZ229" s="287"/>
      <c r="DA229" s="287"/>
      <c r="DB229" s="287"/>
      <c r="DC229" s="287"/>
      <c r="DD229" s="287"/>
      <c r="DE229" s="287"/>
      <c r="DF229" s="287"/>
      <c r="DG229" s="287"/>
      <c r="DH229" s="287"/>
      <c r="DI229" s="287"/>
      <c r="DJ229" s="287"/>
      <c r="DK229" s="287"/>
      <c r="DL229" s="287"/>
      <c r="DM229" s="287"/>
      <c r="DN229" s="287"/>
      <c r="DO229" s="287"/>
      <c r="DP229" s="287"/>
    </row>
    <row r="230" spans="1:120" s="46" customFormat="1" ht="12" customHeight="1" x14ac:dyDescent="0.25">
      <c r="A230" s="205"/>
      <c r="C230" s="581"/>
      <c r="D230" s="581"/>
      <c r="E230" s="581"/>
      <c r="F230" s="581"/>
      <c r="G230" s="581"/>
      <c r="H230" s="581"/>
      <c r="I230" s="581"/>
      <c r="J230" s="581"/>
      <c r="K230" s="581"/>
      <c r="L230" s="581"/>
      <c r="M230" s="581"/>
      <c r="N230" s="581"/>
      <c r="O230" s="470"/>
      <c r="P230" s="471"/>
      <c r="Q230" s="471"/>
      <c r="R230" s="471"/>
      <c r="S230" s="471"/>
      <c r="T230" s="471"/>
      <c r="U230" s="471"/>
      <c r="V230" s="471"/>
      <c r="W230" s="471"/>
      <c r="X230" s="470"/>
      <c r="Y230" s="471"/>
      <c r="Z230" s="471"/>
      <c r="AA230" s="471"/>
      <c r="AB230" s="471"/>
      <c r="AC230" s="471"/>
      <c r="AD230" s="471"/>
      <c r="AE230" s="471"/>
      <c r="AF230" s="471"/>
      <c r="AG230" s="470"/>
      <c r="AH230" s="470"/>
      <c r="AI230" s="470"/>
      <c r="AJ230" s="470"/>
      <c r="AK230" s="470"/>
      <c r="AL230" s="470"/>
      <c r="AM230" s="470"/>
      <c r="AN230" s="470"/>
      <c r="AO230" s="470"/>
      <c r="AP230" s="470"/>
      <c r="AQ230" s="470"/>
      <c r="AR230" s="470"/>
      <c r="AS230" s="470"/>
      <c r="AT230" s="470"/>
      <c r="AU230" s="470"/>
      <c r="AV230" s="470"/>
      <c r="AW230" s="470"/>
      <c r="AX230" s="470"/>
      <c r="AY230" s="470"/>
      <c r="AZ230" s="287"/>
      <c r="BA230" s="470"/>
      <c r="BB230" s="470"/>
      <c r="BC230" s="470"/>
      <c r="BD230" s="470"/>
      <c r="BE230" s="470"/>
      <c r="BF230" s="470"/>
      <c r="BG230" s="470"/>
      <c r="BH230" s="470"/>
      <c r="BI230" s="470"/>
      <c r="BJ230" s="470"/>
      <c r="BK230" s="470"/>
      <c r="BL230" s="470"/>
      <c r="BM230" s="470"/>
      <c r="BN230" s="470"/>
      <c r="BO230" s="470"/>
      <c r="BP230" s="470"/>
      <c r="BQ230" s="470"/>
      <c r="BR230" s="287"/>
      <c r="BS230" s="470"/>
      <c r="BT230" s="470"/>
      <c r="BU230" s="470"/>
      <c r="BV230" s="470"/>
      <c r="BW230" s="470"/>
      <c r="BX230" s="470"/>
      <c r="BY230" s="470"/>
      <c r="BZ230" s="470"/>
      <c r="CA230" s="470"/>
      <c r="CB230" s="470"/>
      <c r="CC230" s="470"/>
      <c r="CD230" s="470"/>
      <c r="CE230" s="470"/>
      <c r="CF230" s="470"/>
      <c r="CG230" s="470"/>
      <c r="CH230" s="470"/>
      <c r="CI230" s="470"/>
      <c r="CJ230" s="470"/>
      <c r="CK230" s="470"/>
      <c r="CL230" s="470"/>
      <c r="CM230" s="470"/>
      <c r="CN230" s="470"/>
      <c r="CO230" s="470"/>
      <c r="CP230" s="287"/>
      <c r="CQ230" s="287"/>
      <c r="CR230" s="287"/>
      <c r="CS230" s="287"/>
      <c r="CT230" s="287"/>
      <c r="CU230" s="287"/>
      <c r="CV230" s="287"/>
      <c r="CW230" s="287"/>
      <c r="CX230" s="287"/>
      <c r="CY230" s="287"/>
      <c r="CZ230" s="287"/>
      <c r="DA230" s="287"/>
      <c r="DB230" s="287"/>
      <c r="DC230" s="287"/>
      <c r="DD230" s="287"/>
      <c r="DE230" s="287"/>
      <c r="DF230" s="287"/>
      <c r="DG230" s="287"/>
      <c r="DH230" s="287"/>
      <c r="DI230" s="287"/>
      <c r="DJ230" s="287"/>
      <c r="DK230" s="287"/>
      <c r="DL230" s="287"/>
      <c r="DM230" s="287"/>
      <c r="DN230" s="287"/>
      <c r="DO230" s="287"/>
      <c r="DP230" s="287"/>
    </row>
    <row r="231" spans="1:120" s="46" customFormat="1" ht="31.5" customHeight="1" x14ac:dyDescent="0.25">
      <c r="A231" s="205"/>
      <c r="C231" s="581"/>
      <c r="D231" s="581"/>
      <c r="E231" s="581"/>
      <c r="F231" s="581"/>
      <c r="G231" s="581"/>
      <c r="H231" s="581"/>
      <c r="I231" s="581"/>
      <c r="J231" s="581"/>
      <c r="K231" s="581"/>
      <c r="L231" s="581"/>
      <c r="M231" s="581"/>
      <c r="N231" s="581"/>
      <c r="O231" s="470"/>
      <c r="P231" s="471"/>
      <c r="Q231" s="471"/>
      <c r="R231" s="471"/>
      <c r="S231" s="471"/>
      <c r="T231" s="471"/>
      <c r="U231" s="471"/>
      <c r="V231" s="471"/>
      <c r="W231" s="471"/>
      <c r="X231" s="470"/>
      <c r="Y231" s="471"/>
      <c r="Z231" s="471"/>
      <c r="AA231" s="471"/>
      <c r="AB231" s="471"/>
      <c r="AC231" s="471"/>
      <c r="AD231" s="471"/>
      <c r="AE231" s="471"/>
      <c r="AF231" s="471"/>
      <c r="AG231" s="470"/>
      <c r="AH231" s="470"/>
      <c r="AI231" s="470"/>
      <c r="AJ231" s="470"/>
      <c r="AK231" s="470"/>
      <c r="AL231" s="470"/>
      <c r="AM231" s="470"/>
      <c r="AN231" s="470"/>
      <c r="AO231" s="470"/>
      <c r="AP231" s="470"/>
      <c r="AQ231" s="470"/>
      <c r="AR231" s="470"/>
      <c r="AS231" s="470"/>
      <c r="AT231" s="470"/>
      <c r="AU231" s="470"/>
      <c r="AV231" s="470"/>
      <c r="AW231" s="470"/>
      <c r="AX231" s="470"/>
      <c r="AY231" s="470"/>
      <c r="AZ231" s="287"/>
      <c r="BA231" s="470"/>
      <c r="BB231" s="470"/>
      <c r="BC231" s="470"/>
      <c r="BD231" s="470"/>
      <c r="BE231" s="470"/>
      <c r="BF231" s="470"/>
      <c r="BG231" s="470"/>
      <c r="BH231" s="470"/>
      <c r="BI231" s="470"/>
      <c r="BJ231" s="470"/>
      <c r="BK231" s="470"/>
      <c r="BL231" s="470"/>
      <c r="BM231" s="470"/>
      <c r="BN231" s="470"/>
      <c r="BO231" s="470"/>
      <c r="BP231" s="470"/>
      <c r="BQ231" s="470"/>
      <c r="BR231" s="287"/>
      <c r="BS231" s="470"/>
      <c r="BT231" s="470"/>
      <c r="BU231" s="470"/>
      <c r="BV231" s="470"/>
      <c r="BW231" s="470"/>
      <c r="BX231" s="470"/>
      <c r="BY231" s="470"/>
      <c r="BZ231" s="470"/>
      <c r="CA231" s="470"/>
      <c r="CB231" s="470"/>
      <c r="CC231" s="470"/>
      <c r="CD231" s="470"/>
      <c r="CE231" s="470"/>
      <c r="CF231" s="470"/>
      <c r="CG231" s="470"/>
      <c r="CH231" s="470"/>
      <c r="CI231" s="470"/>
      <c r="CJ231" s="470"/>
      <c r="CK231" s="470"/>
      <c r="CL231" s="470"/>
      <c r="CM231" s="470"/>
      <c r="CN231" s="470"/>
      <c r="CO231" s="470"/>
      <c r="CP231" s="287"/>
      <c r="CQ231" s="287"/>
      <c r="CR231" s="287"/>
      <c r="CS231" s="287"/>
      <c r="CT231" s="287"/>
      <c r="CU231" s="287"/>
      <c r="CV231" s="287"/>
      <c r="CW231" s="287"/>
      <c r="CX231" s="287"/>
      <c r="CY231" s="287"/>
      <c r="CZ231" s="287"/>
      <c r="DA231" s="287"/>
      <c r="DB231" s="287"/>
      <c r="DC231" s="287"/>
      <c r="DD231" s="287"/>
      <c r="DE231" s="287"/>
      <c r="DF231" s="287"/>
      <c r="DG231" s="287"/>
      <c r="DH231" s="287"/>
      <c r="DI231" s="287"/>
      <c r="DJ231" s="287"/>
      <c r="DK231" s="287"/>
      <c r="DL231" s="287"/>
      <c r="DM231" s="287"/>
      <c r="DN231" s="287"/>
      <c r="DO231" s="287"/>
      <c r="DP231" s="287"/>
    </row>
    <row r="232" spans="1:120" s="46" customFormat="1" ht="12" customHeight="1" x14ac:dyDescent="0.25">
      <c r="A232" s="205"/>
      <c r="C232" s="581"/>
      <c r="D232" s="581"/>
      <c r="E232" s="581"/>
      <c r="F232" s="581"/>
      <c r="G232" s="581"/>
      <c r="H232" s="581"/>
      <c r="I232" s="581"/>
      <c r="J232" s="581"/>
      <c r="K232" s="581"/>
      <c r="L232" s="581"/>
      <c r="M232" s="581"/>
      <c r="N232" s="581"/>
      <c r="O232" s="470"/>
      <c r="P232" s="471"/>
      <c r="Q232" s="471"/>
      <c r="R232" s="471"/>
      <c r="S232" s="471"/>
      <c r="T232" s="471"/>
      <c r="U232" s="471"/>
      <c r="V232" s="471"/>
      <c r="W232" s="471"/>
      <c r="X232" s="470"/>
      <c r="Y232" s="471"/>
      <c r="Z232" s="471"/>
      <c r="AA232" s="471"/>
      <c r="AB232" s="471"/>
      <c r="AC232" s="471"/>
      <c r="AD232" s="471"/>
      <c r="AE232" s="471"/>
      <c r="AF232" s="471"/>
      <c r="AG232" s="470"/>
      <c r="AH232" s="470"/>
      <c r="AI232" s="470"/>
      <c r="AJ232" s="470"/>
      <c r="AK232" s="470"/>
      <c r="AL232" s="470"/>
      <c r="AM232" s="470"/>
      <c r="AN232" s="470"/>
      <c r="AO232" s="470"/>
      <c r="AP232" s="470"/>
      <c r="AQ232" s="470"/>
      <c r="AR232" s="470"/>
      <c r="AS232" s="470"/>
      <c r="AT232" s="470"/>
      <c r="AU232" s="470"/>
      <c r="AV232" s="470"/>
      <c r="AW232" s="470"/>
      <c r="AX232" s="470"/>
      <c r="AY232" s="470"/>
      <c r="AZ232" s="287"/>
      <c r="BA232" s="470"/>
      <c r="BB232" s="470"/>
      <c r="BC232" s="470"/>
      <c r="BD232" s="470"/>
      <c r="BE232" s="470"/>
      <c r="BF232" s="470"/>
      <c r="BG232" s="470"/>
      <c r="BH232" s="470"/>
      <c r="BI232" s="470"/>
      <c r="BJ232" s="470"/>
      <c r="BK232" s="470"/>
      <c r="BL232" s="470"/>
      <c r="BM232" s="470"/>
      <c r="BN232" s="470"/>
      <c r="BO232" s="470"/>
      <c r="BP232" s="470"/>
      <c r="BQ232" s="470"/>
      <c r="BR232" s="287"/>
      <c r="BS232" s="470"/>
      <c r="BT232" s="470"/>
      <c r="BU232" s="470"/>
      <c r="BV232" s="470"/>
      <c r="BW232" s="470"/>
      <c r="BX232" s="470"/>
      <c r="BY232" s="470"/>
      <c r="BZ232" s="470"/>
      <c r="CA232" s="470"/>
      <c r="CB232" s="470"/>
      <c r="CC232" s="470"/>
      <c r="CD232" s="470"/>
      <c r="CE232" s="470"/>
      <c r="CF232" s="470"/>
      <c r="CG232" s="470"/>
      <c r="CH232" s="470"/>
      <c r="CI232" s="470"/>
      <c r="CJ232" s="470"/>
      <c r="CK232" s="470"/>
      <c r="CL232" s="470"/>
      <c r="CM232" s="470"/>
      <c r="CN232" s="470"/>
      <c r="CO232" s="470"/>
      <c r="CP232" s="287"/>
      <c r="CQ232" s="287"/>
      <c r="CR232" s="287"/>
      <c r="CS232" s="287"/>
      <c r="CT232" s="287"/>
      <c r="CU232" s="287"/>
      <c r="CV232" s="287"/>
      <c r="CW232" s="287"/>
      <c r="CX232" s="287"/>
      <c r="CY232" s="287"/>
      <c r="CZ232" s="287"/>
      <c r="DA232" s="287"/>
      <c r="DB232" s="287"/>
      <c r="DC232" s="287"/>
      <c r="DD232" s="287"/>
      <c r="DE232" s="287"/>
      <c r="DF232" s="287"/>
      <c r="DG232" s="287"/>
      <c r="DH232" s="287"/>
      <c r="DI232" s="287"/>
      <c r="DJ232" s="287"/>
      <c r="DK232" s="287"/>
      <c r="DL232" s="287"/>
      <c r="DM232" s="287"/>
      <c r="DN232" s="287"/>
      <c r="DO232" s="287"/>
      <c r="DP232" s="287"/>
    </row>
    <row r="233" spans="1:120" s="46" customFormat="1" ht="31.5" customHeight="1" x14ac:dyDescent="0.25">
      <c r="A233" s="205"/>
      <c r="C233" s="581"/>
      <c r="D233" s="581"/>
      <c r="E233" s="581"/>
      <c r="F233" s="581"/>
      <c r="G233" s="581"/>
      <c r="H233" s="581"/>
      <c r="I233" s="581"/>
      <c r="J233" s="581"/>
      <c r="K233" s="581"/>
      <c r="L233" s="581"/>
      <c r="M233" s="581"/>
      <c r="N233" s="581"/>
      <c r="O233" s="470"/>
      <c r="P233" s="471"/>
      <c r="Q233" s="471"/>
      <c r="R233" s="471"/>
      <c r="S233" s="471"/>
      <c r="T233" s="471"/>
      <c r="U233" s="471"/>
      <c r="V233" s="471"/>
      <c r="W233" s="471"/>
      <c r="X233" s="470"/>
      <c r="Y233" s="471"/>
      <c r="Z233" s="471"/>
      <c r="AA233" s="471"/>
      <c r="AB233" s="471"/>
      <c r="AC233" s="471"/>
      <c r="AD233" s="471"/>
      <c r="AE233" s="471"/>
      <c r="AF233" s="471"/>
      <c r="AG233" s="470"/>
      <c r="AH233" s="470"/>
      <c r="AI233" s="470"/>
      <c r="AJ233" s="470"/>
      <c r="AK233" s="470"/>
      <c r="AL233" s="470"/>
      <c r="AM233" s="470"/>
      <c r="AN233" s="470"/>
      <c r="AO233" s="470"/>
      <c r="AP233" s="470"/>
      <c r="AQ233" s="470"/>
      <c r="AR233" s="470"/>
      <c r="AS233" s="470"/>
      <c r="AT233" s="470"/>
      <c r="AU233" s="470"/>
      <c r="AV233" s="470"/>
      <c r="AW233" s="470"/>
      <c r="AX233" s="470"/>
      <c r="AY233" s="470"/>
      <c r="AZ233" s="287"/>
      <c r="BA233" s="470"/>
      <c r="BB233" s="470"/>
      <c r="BC233" s="470"/>
      <c r="BD233" s="470"/>
      <c r="BE233" s="470"/>
      <c r="BF233" s="470"/>
      <c r="BG233" s="470"/>
      <c r="BH233" s="470"/>
      <c r="BI233" s="470"/>
      <c r="BJ233" s="470"/>
      <c r="BK233" s="470"/>
      <c r="BL233" s="470"/>
      <c r="BM233" s="470"/>
      <c r="BN233" s="470"/>
      <c r="BO233" s="470"/>
      <c r="BP233" s="470"/>
      <c r="BQ233" s="470"/>
      <c r="BR233" s="287"/>
      <c r="BS233" s="470"/>
      <c r="BT233" s="470"/>
      <c r="BU233" s="470"/>
      <c r="BV233" s="470"/>
      <c r="BW233" s="470"/>
      <c r="BX233" s="470"/>
      <c r="BY233" s="470"/>
      <c r="BZ233" s="470"/>
      <c r="CA233" s="470"/>
      <c r="CB233" s="470"/>
      <c r="CC233" s="470"/>
      <c r="CD233" s="470"/>
      <c r="CE233" s="470"/>
      <c r="CF233" s="470"/>
      <c r="CG233" s="470"/>
      <c r="CH233" s="470"/>
      <c r="CI233" s="470"/>
      <c r="CJ233" s="470"/>
      <c r="CK233" s="470"/>
      <c r="CL233" s="470"/>
      <c r="CM233" s="470"/>
      <c r="CN233" s="470"/>
      <c r="CO233" s="470"/>
      <c r="CP233" s="287"/>
      <c r="CQ233" s="287"/>
      <c r="CR233" s="287"/>
      <c r="CS233" s="287"/>
      <c r="CT233" s="287"/>
      <c r="CU233" s="287"/>
      <c r="CV233" s="287"/>
      <c r="CW233" s="287"/>
      <c r="CX233" s="287"/>
      <c r="CY233" s="287"/>
      <c r="CZ233" s="287"/>
      <c r="DA233" s="287"/>
      <c r="DB233" s="287"/>
      <c r="DC233" s="287"/>
      <c r="DD233" s="287"/>
      <c r="DE233" s="287"/>
      <c r="DF233" s="287"/>
      <c r="DG233" s="287"/>
      <c r="DH233" s="287"/>
      <c r="DI233" s="287"/>
      <c r="DJ233" s="287"/>
      <c r="DK233" s="287"/>
      <c r="DL233" s="287"/>
      <c r="DM233" s="287"/>
      <c r="DN233" s="287"/>
      <c r="DO233" s="287"/>
      <c r="DP233" s="287"/>
    </row>
    <row r="234" spans="1:120" s="46" customFormat="1" ht="12" customHeight="1" x14ac:dyDescent="0.25">
      <c r="A234" s="205"/>
      <c r="C234" s="581"/>
      <c r="D234" s="581"/>
      <c r="E234" s="581"/>
      <c r="F234" s="581"/>
      <c r="G234" s="581"/>
      <c r="H234" s="581"/>
      <c r="I234" s="581"/>
      <c r="J234" s="581"/>
      <c r="K234" s="581"/>
      <c r="L234" s="581"/>
      <c r="M234" s="581"/>
      <c r="N234" s="581"/>
      <c r="O234" s="470"/>
      <c r="P234" s="471"/>
      <c r="Q234" s="471"/>
      <c r="R234" s="471"/>
      <c r="S234" s="471"/>
      <c r="T234" s="471"/>
      <c r="U234" s="471"/>
      <c r="V234" s="471"/>
      <c r="W234" s="471"/>
      <c r="X234" s="470"/>
      <c r="Y234" s="471"/>
      <c r="Z234" s="471"/>
      <c r="AA234" s="471"/>
      <c r="AB234" s="471"/>
      <c r="AC234" s="471"/>
      <c r="AD234" s="471"/>
      <c r="AE234" s="471"/>
      <c r="AF234" s="471"/>
      <c r="AG234" s="470"/>
      <c r="AH234" s="470"/>
      <c r="AI234" s="470"/>
      <c r="AJ234" s="470"/>
      <c r="AK234" s="470"/>
      <c r="AL234" s="470"/>
      <c r="AM234" s="470"/>
      <c r="AN234" s="470"/>
      <c r="AO234" s="470"/>
      <c r="AP234" s="470"/>
      <c r="AQ234" s="470"/>
      <c r="AR234" s="470"/>
      <c r="AS234" s="470"/>
      <c r="AT234" s="470"/>
      <c r="AU234" s="470"/>
      <c r="AV234" s="470"/>
      <c r="AW234" s="470"/>
      <c r="AX234" s="470"/>
      <c r="AY234" s="470"/>
      <c r="AZ234" s="287"/>
      <c r="BA234" s="470"/>
      <c r="BB234" s="470"/>
      <c r="BC234" s="470"/>
      <c r="BD234" s="470"/>
      <c r="BE234" s="470"/>
      <c r="BF234" s="470"/>
      <c r="BG234" s="470"/>
      <c r="BH234" s="470"/>
      <c r="BI234" s="470"/>
      <c r="BJ234" s="470"/>
      <c r="BK234" s="470"/>
      <c r="BL234" s="470"/>
      <c r="BM234" s="470"/>
      <c r="BN234" s="470"/>
      <c r="BO234" s="470"/>
      <c r="BP234" s="470"/>
      <c r="BQ234" s="470"/>
      <c r="BR234" s="287"/>
      <c r="BS234" s="470"/>
      <c r="BT234" s="470"/>
      <c r="BU234" s="470"/>
      <c r="BV234" s="470"/>
      <c r="BW234" s="470"/>
      <c r="BX234" s="470"/>
      <c r="BY234" s="470"/>
      <c r="BZ234" s="470"/>
      <c r="CA234" s="470"/>
      <c r="CB234" s="470"/>
      <c r="CC234" s="470"/>
      <c r="CD234" s="470"/>
      <c r="CE234" s="470"/>
      <c r="CF234" s="470"/>
      <c r="CG234" s="470"/>
      <c r="CH234" s="470"/>
      <c r="CI234" s="470"/>
      <c r="CJ234" s="470"/>
      <c r="CK234" s="470"/>
      <c r="CL234" s="470"/>
      <c r="CM234" s="470"/>
      <c r="CN234" s="470"/>
      <c r="CO234" s="470"/>
      <c r="CP234" s="287"/>
      <c r="CQ234" s="287"/>
      <c r="CR234" s="287"/>
      <c r="CS234" s="287"/>
      <c r="CT234" s="287"/>
      <c r="CU234" s="287"/>
      <c r="CV234" s="287"/>
      <c r="CW234" s="287"/>
      <c r="CX234" s="287"/>
      <c r="CY234" s="287"/>
      <c r="CZ234" s="287"/>
      <c r="DA234" s="287"/>
      <c r="DB234" s="287"/>
      <c r="DC234" s="287"/>
      <c r="DD234" s="287"/>
      <c r="DE234" s="287"/>
      <c r="DF234" s="287"/>
      <c r="DG234" s="287"/>
      <c r="DH234" s="287"/>
      <c r="DI234" s="287"/>
      <c r="DJ234" s="287"/>
      <c r="DK234" s="287"/>
      <c r="DL234" s="287"/>
      <c r="DM234" s="287"/>
      <c r="DN234" s="287"/>
      <c r="DO234" s="287"/>
      <c r="DP234" s="287"/>
    </row>
    <row r="235" spans="1:120" s="46" customFormat="1" ht="12" customHeight="1" x14ac:dyDescent="0.25">
      <c r="A235" s="205"/>
      <c r="C235" s="581"/>
      <c r="D235" s="581"/>
      <c r="E235" s="581"/>
      <c r="F235" s="581"/>
      <c r="G235" s="581"/>
      <c r="H235" s="581"/>
      <c r="I235" s="581"/>
      <c r="J235" s="581"/>
      <c r="K235" s="581"/>
      <c r="L235" s="581"/>
      <c r="M235" s="581"/>
      <c r="N235" s="581"/>
      <c r="O235" s="470"/>
      <c r="P235" s="471"/>
      <c r="Q235" s="471"/>
      <c r="R235" s="471"/>
      <c r="S235" s="471"/>
      <c r="T235" s="471"/>
      <c r="U235" s="471"/>
      <c r="V235" s="471"/>
      <c r="W235" s="471"/>
      <c r="X235" s="470"/>
      <c r="Y235" s="471"/>
      <c r="Z235" s="471"/>
      <c r="AA235" s="471"/>
      <c r="AB235" s="471"/>
      <c r="AC235" s="471"/>
      <c r="AD235" s="471"/>
      <c r="AE235" s="471"/>
      <c r="AF235" s="471"/>
      <c r="AG235" s="470"/>
      <c r="AH235" s="470"/>
      <c r="AI235" s="470"/>
      <c r="AJ235" s="470"/>
      <c r="AK235" s="470"/>
      <c r="AL235" s="470"/>
      <c r="AM235" s="470"/>
      <c r="AN235" s="470"/>
      <c r="AO235" s="470"/>
      <c r="AP235" s="470"/>
      <c r="AQ235" s="470"/>
      <c r="AR235" s="470"/>
      <c r="AS235" s="470"/>
      <c r="AT235" s="470"/>
      <c r="AU235" s="470"/>
      <c r="AV235" s="470"/>
      <c r="AW235" s="470"/>
      <c r="AX235" s="470"/>
      <c r="AY235" s="470"/>
      <c r="AZ235" s="287"/>
      <c r="BA235" s="470"/>
      <c r="BB235" s="470"/>
      <c r="BC235" s="470"/>
      <c r="BD235" s="470"/>
      <c r="BE235" s="470"/>
      <c r="BF235" s="470"/>
      <c r="BG235" s="470"/>
      <c r="BH235" s="470"/>
      <c r="BI235" s="470"/>
      <c r="BJ235" s="470"/>
      <c r="BK235" s="470"/>
      <c r="BL235" s="470"/>
      <c r="BM235" s="470"/>
      <c r="BN235" s="470"/>
      <c r="BO235" s="470"/>
      <c r="BP235" s="470"/>
      <c r="BQ235" s="470"/>
      <c r="BR235" s="287"/>
      <c r="BS235" s="470"/>
      <c r="BT235" s="470"/>
      <c r="BU235" s="470"/>
      <c r="BV235" s="470"/>
      <c r="BW235" s="470"/>
      <c r="BX235" s="470"/>
      <c r="BY235" s="470"/>
      <c r="BZ235" s="470"/>
      <c r="CA235" s="470"/>
      <c r="CB235" s="470"/>
      <c r="CC235" s="470"/>
      <c r="CD235" s="470"/>
      <c r="CE235" s="470"/>
      <c r="CF235" s="470"/>
      <c r="CG235" s="470"/>
      <c r="CH235" s="470"/>
      <c r="CI235" s="470"/>
      <c r="CJ235" s="470"/>
      <c r="CK235" s="470"/>
      <c r="CL235" s="470"/>
      <c r="CM235" s="470"/>
      <c r="CN235" s="470"/>
      <c r="CO235" s="470"/>
      <c r="CP235" s="287"/>
      <c r="CQ235" s="287"/>
      <c r="CR235" s="287"/>
      <c r="CS235" s="287"/>
      <c r="CT235" s="287"/>
      <c r="CU235" s="287"/>
      <c r="CV235" s="287"/>
      <c r="CW235" s="287"/>
      <c r="CX235" s="287"/>
      <c r="CY235" s="287"/>
      <c r="CZ235" s="287"/>
      <c r="DA235" s="287"/>
      <c r="DB235" s="287"/>
      <c r="DC235" s="287"/>
      <c r="DD235" s="287"/>
      <c r="DE235" s="287"/>
      <c r="DF235" s="287"/>
      <c r="DG235" s="287"/>
      <c r="DH235" s="287"/>
      <c r="DI235" s="287"/>
      <c r="DJ235" s="287"/>
      <c r="DK235" s="287"/>
      <c r="DL235" s="287"/>
      <c r="DM235" s="287"/>
      <c r="DN235" s="287"/>
      <c r="DO235" s="287"/>
      <c r="DP235" s="287"/>
    </row>
    <row r="236" spans="1:120" s="46" customFormat="1" ht="12" customHeight="1" x14ac:dyDescent="0.25">
      <c r="A236" s="205"/>
      <c r="C236" s="581"/>
      <c r="D236" s="581"/>
      <c r="E236" s="581"/>
      <c r="F236" s="581"/>
      <c r="G236" s="581"/>
      <c r="H236" s="581"/>
      <c r="I236" s="581"/>
      <c r="J236" s="581"/>
      <c r="K236" s="581"/>
      <c r="L236" s="581"/>
      <c r="M236" s="581"/>
      <c r="N236" s="581"/>
      <c r="O236" s="470"/>
      <c r="P236" s="471"/>
      <c r="Q236" s="471"/>
      <c r="R236" s="471"/>
      <c r="S236" s="471"/>
      <c r="T236" s="471"/>
      <c r="U236" s="471"/>
      <c r="V236" s="471"/>
      <c r="W236" s="471"/>
      <c r="X236" s="470"/>
      <c r="Y236" s="471"/>
      <c r="Z236" s="471"/>
      <c r="AA236" s="471"/>
      <c r="AB236" s="471"/>
      <c r="AC236" s="471"/>
      <c r="AD236" s="471"/>
      <c r="AE236" s="471"/>
      <c r="AF236" s="471"/>
      <c r="AG236" s="470"/>
      <c r="AH236" s="470"/>
      <c r="AI236" s="470"/>
      <c r="AJ236" s="470"/>
      <c r="AK236" s="470"/>
      <c r="AL236" s="470"/>
      <c r="AM236" s="470"/>
      <c r="AN236" s="470"/>
      <c r="AO236" s="470"/>
      <c r="AP236" s="470"/>
      <c r="AQ236" s="470"/>
      <c r="AR236" s="470"/>
      <c r="AS236" s="470"/>
      <c r="AT236" s="470"/>
      <c r="AU236" s="470"/>
      <c r="AV236" s="470"/>
      <c r="AW236" s="470"/>
      <c r="AX236" s="470"/>
      <c r="AY236" s="470"/>
      <c r="AZ236" s="287"/>
      <c r="BA236" s="470"/>
      <c r="BB236" s="470"/>
      <c r="BC236" s="470"/>
      <c r="BD236" s="470"/>
      <c r="BE236" s="470"/>
      <c r="BF236" s="470"/>
      <c r="BG236" s="470"/>
      <c r="BH236" s="470"/>
      <c r="BI236" s="470"/>
      <c r="BJ236" s="470"/>
      <c r="BK236" s="470"/>
      <c r="BL236" s="470"/>
      <c r="BM236" s="470"/>
      <c r="BN236" s="470"/>
      <c r="BO236" s="470"/>
      <c r="BP236" s="470"/>
      <c r="BQ236" s="470"/>
      <c r="BR236" s="287"/>
      <c r="BS236" s="470"/>
      <c r="BT236" s="470"/>
      <c r="BU236" s="470"/>
      <c r="BV236" s="470"/>
      <c r="BW236" s="470"/>
      <c r="BX236" s="470"/>
      <c r="BY236" s="470"/>
      <c r="BZ236" s="470"/>
      <c r="CA236" s="470"/>
      <c r="CB236" s="470"/>
      <c r="CC236" s="470"/>
      <c r="CD236" s="470"/>
      <c r="CE236" s="470"/>
      <c r="CF236" s="470"/>
      <c r="CG236" s="470"/>
      <c r="CH236" s="470"/>
      <c r="CI236" s="470"/>
      <c r="CJ236" s="470"/>
      <c r="CK236" s="470"/>
      <c r="CL236" s="470"/>
      <c r="CM236" s="470"/>
      <c r="CN236" s="470"/>
      <c r="CO236" s="470"/>
      <c r="CP236" s="287"/>
      <c r="CQ236" s="287"/>
      <c r="CR236" s="287"/>
      <c r="CS236" s="287"/>
      <c r="CT236" s="287"/>
      <c r="CU236" s="287"/>
      <c r="CV236" s="287"/>
      <c r="CW236" s="287"/>
      <c r="CX236" s="287"/>
      <c r="CY236" s="287"/>
      <c r="CZ236" s="287"/>
      <c r="DA236" s="287"/>
      <c r="DB236" s="287"/>
      <c r="DC236" s="287"/>
      <c r="DD236" s="287"/>
      <c r="DE236" s="287"/>
      <c r="DF236" s="287"/>
      <c r="DG236" s="287"/>
      <c r="DH236" s="287"/>
      <c r="DI236" s="287"/>
      <c r="DJ236" s="287"/>
      <c r="DK236" s="287"/>
      <c r="DL236" s="287"/>
      <c r="DM236" s="287"/>
      <c r="DN236" s="287"/>
      <c r="DO236" s="287"/>
      <c r="DP236" s="287"/>
    </row>
    <row r="237" spans="1:120" s="46" customFormat="1" ht="12" customHeight="1" x14ac:dyDescent="0.25">
      <c r="A237" s="205"/>
      <c r="C237" s="581"/>
      <c r="D237" s="581"/>
      <c r="E237" s="581"/>
      <c r="F237" s="581"/>
      <c r="G237" s="581"/>
      <c r="H237" s="581"/>
      <c r="I237" s="581"/>
      <c r="J237" s="581"/>
      <c r="K237" s="581"/>
      <c r="L237" s="581"/>
      <c r="M237" s="581"/>
      <c r="N237" s="581"/>
      <c r="O237" s="470"/>
      <c r="P237" s="471"/>
      <c r="Q237" s="471"/>
      <c r="R237" s="471"/>
      <c r="S237" s="471"/>
      <c r="T237" s="471"/>
      <c r="U237" s="471"/>
      <c r="V237" s="471"/>
      <c r="W237" s="471"/>
      <c r="X237" s="470"/>
      <c r="Y237" s="471"/>
      <c r="Z237" s="471"/>
      <c r="AA237" s="471"/>
      <c r="AB237" s="471"/>
      <c r="AC237" s="471"/>
      <c r="AD237" s="471"/>
      <c r="AE237" s="471"/>
      <c r="AF237" s="471"/>
      <c r="AG237" s="470"/>
      <c r="AH237" s="470"/>
      <c r="AI237" s="470"/>
      <c r="AJ237" s="470"/>
      <c r="AK237" s="470"/>
      <c r="AL237" s="470"/>
      <c r="AM237" s="470"/>
      <c r="AN237" s="470"/>
      <c r="AO237" s="470"/>
      <c r="AP237" s="470"/>
      <c r="AQ237" s="470"/>
      <c r="AR237" s="470"/>
      <c r="AS237" s="470"/>
      <c r="AT237" s="470"/>
      <c r="AU237" s="470"/>
      <c r="AV237" s="470"/>
      <c r="AW237" s="470"/>
      <c r="AX237" s="470"/>
      <c r="AY237" s="470"/>
      <c r="AZ237" s="287"/>
      <c r="BA237" s="470"/>
      <c r="BB237" s="470"/>
      <c r="BC237" s="470"/>
      <c r="BD237" s="470"/>
      <c r="BE237" s="470"/>
      <c r="BF237" s="470"/>
      <c r="BG237" s="470"/>
      <c r="BH237" s="470"/>
      <c r="BI237" s="470"/>
      <c r="BJ237" s="470"/>
      <c r="BK237" s="470"/>
      <c r="BL237" s="470"/>
      <c r="BM237" s="470"/>
      <c r="BN237" s="470"/>
      <c r="BO237" s="470"/>
      <c r="BP237" s="470"/>
      <c r="BQ237" s="470"/>
      <c r="BR237" s="287"/>
      <c r="BS237" s="470"/>
      <c r="BT237" s="470"/>
      <c r="BU237" s="470"/>
      <c r="BV237" s="470"/>
      <c r="BW237" s="470"/>
      <c r="BX237" s="470"/>
      <c r="BY237" s="470"/>
      <c r="BZ237" s="470"/>
      <c r="CA237" s="470"/>
      <c r="CB237" s="470"/>
      <c r="CC237" s="470"/>
      <c r="CD237" s="470"/>
      <c r="CE237" s="470"/>
      <c r="CF237" s="470"/>
      <c r="CG237" s="470"/>
      <c r="CH237" s="470"/>
      <c r="CI237" s="470"/>
      <c r="CJ237" s="470"/>
      <c r="CK237" s="470"/>
      <c r="CL237" s="470"/>
      <c r="CM237" s="470"/>
      <c r="CN237" s="470"/>
      <c r="CO237" s="470"/>
      <c r="CP237" s="287"/>
      <c r="CQ237" s="287"/>
      <c r="CR237" s="287"/>
      <c r="CS237" s="287"/>
      <c r="CT237" s="287"/>
      <c r="CU237" s="287"/>
      <c r="CV237" s="287"/>
      <c r="CW237" s="287"/>
      <c r="CX237" s="287"/>
      <c r="CY237" s="287"/>
      <c r="CZ237" s="287"/>
      <c r="DA237" s="287"/>
      <c r="DB237" s="287"/>
      <c r="DC237" s="287"/>
      <c r="DD237" s="287"/>
      <c r="DE237" s="287"/>
      <c r="DF237" s="287"/>
      <c r="DG237" s="287"/>
      <c r="DH237" s="287"/>
      <c r="DI237" s="287"/>
      <c r="DJ237" s="287"/>
      <c r="DK237" s="287"/>
      <c r="DL237" s="287"/>
      <c r="DM237" s="287"/>
      <c r="DN237" s="287"/>
      <c r="DO237" s="287"/>
      <c r="DP237" s="287"/>
    </row>
    <row r="238" spans="1:120" s="46" customFormat="1" ht="12" customHeight="1" x14ac:dyDescent="0.25">
      <c r="A238" s="205"/>
      <c r="C238" s="581"/>
      <c r="D238" s="581"/>
      <c r="E238" s="581"/>
      <c r="F238" s="581"/>
      <c r="G238" s="581"/>
      <c r="H238" s="581"/>
      <c r="I238" s="581"/>
      <c r="J238" s="581"/>
      <c r="K238" s="581"/>
      <c r="L238" s="581"/>
      <c r="M238" s="581"/>
      <c r="N238" s="581"/>
      <c r="O238" s="287"/>
      <c r="P238" s="471"/>
      <c r="Q238" s="471"/>
      <c r="R238" s="471"/>
      <c r="S238" s="471"/>
      <c r="T238" s="471"/>
      <c r="U238" s="471"/>
      <c r="V238" s="471"/>
      <c r="W238" s="471"/>
      <c r="X238" s="287"/>
      <c r="Y238" s="471"/>
      <c r="Z238" s="471"/>
      <c r="AA238" s="471"/>
      <c r="AB238" s="471"/>
      <c r="AC238" s="471"/>
      <c r="AD238" s="471"/>
      <c r="AE238" s="471"/>
      <c r="AF238" s="471"/>
      <c r="AG238" s="287"/>
      <c r="AH238" s="287"/>
      <c r="AI238" s="470"/>
      <c r="AJ238" s="470"/>
      <c r="AK238" s="470"/>
      <c r="AL238" s="470"/>
      <c r="AM238" s="470"/>
      <c r="AN238" s="470"/>
      <c r="AO238" s="470"/>
      <c r="AP238" s="470"/>
      <c r="AQ238" s="287"/>
      <c r="AR238" s="470"/>
      <c r="AS238" s="470"/>
      <c r="AT238" s="470"/>
      <c r="AU238" s="470"/>
      <c r="AV238" s="470"/>
      <c r="AW238" s="470"/>
      <c r="AX238" s="470"/>
      <c r="AY238" s="470"/>
      <c r="AZ238" s="287"/>
      <c r="BA238" s="470"/>
      <c r="BB238" s="470"/>
      <c r="BC238" s="470"/>
      <c r="BD238" s="470"/>
      <c r="BE238" s="470"/>
      <c r="BF238" s="470"/>
      <c r="BG238" s="470"/>
      <c r="BH238" s="470"/>
      <c r="BI238" s="287"/>
      <c r="BJ238" s="470"/>
      <c r="BK238" s="470"/>
      <c r="BL238" s="470"/>
      <c r="BM238" s="470"/>
      <c r="BN238" s="470"/>
      <c r="BO238" s="470"/>
      <c r="BP238" s="470"/>
      <c r="BQ238" s="470"/>
      <c r="BR238" s="287"/>
      <c r="BS238" s="470"/>
      <c r="BT238" s="470"/>
      <c r="BU238" s="470"/>
      <c r="BV238" s="470"/>
      <c r="BW238" s="470"/>
      <c r="BX238" s="470"/>
      <c r="BY238" s="470"/>
      <c r="BZ238" s="470"/>
      <c r="CA238" s="287"/>
      <c r="CB238" s="470"/>
      <c r="CC238" s="470"/>
      <c r="CD238" s="470"/>
      <c r="CE238" s="470"/>
      <c r="CF238" s="470"/>
      <c r="CG238" s="470"/>
      <c r="CH238" s="470"/>
      <c r="CI238" s="470"/>
      <c r="CJ238" s="287"/>
      <c r="CK238" s="287"/>
      <c r="CL238" s="287"/>
      <c r="CM238" s="287"/>
      <c r="CN238" s="287"/>
      <c r="CO238" s="287"/>
      <c r="CP238" s="287"/>
      <c r="CQ238" s="287"/>
      <c r="CR238" s="287"/>
      <c r="CS238" s="287"/>
      <c r="CT238" s="287"/>
      <c r="CU238" s="287"/>
      <c r="CV238" s="287"/>
      <c r="CW238" s="287"/>
      <c r="CX238" s="287"/>
      <c r="CY238" s="287"/>
      <c r="CZ238" s="287"/>
      <c r="DA238" s="287"/>
      <c r="DB238" s="287"/>
      <c r="DC238" s="287"/>
      <c r="DD238" s="287"/>
      <c r="DE238" s="287"/>
      <c r="DF238" s="287"/>
      <c r="DG238" s="287"/>
      <c r="DH238" s="287"/>
      <c r="DI238" s="287"/>
      <c r="DJ238" s="287"/>
      <c r="DK238" s="287"/>
      <c r="DL238" s="287"/>
      <c r="DM238" s="287"/>
      <c r="DN238" s="287"/>
      <c r="DO238" s="287"/>
      <c r="DP238" s="287"/>
    </row>
    <row r="239" spans="1:120" s="50" customFormat="1" ht="12" customHeight="1" x14ac:dyDescent="0.25">
      <c r="A239" s="205"/>
      <c r="C239" s="581"/>
      <c r="D239" s="581"/>
      <c r="E239" s="581"/>
      <c r="F239" s="581"/>
      <c r="G239" s="581"/>
      <c r="H239" s="581"/>
      <c r="I239" s="581"/>
      <c r="J239" s="581"/>
      <c r="K239" s="581"/>
      <c r="L239" s="581"/>
      <c r="M239" s="581"/>
      <c r="N239" s="581"/>
      <c r="O239" s="287"/>
      <c r="P239" s="471"/>
      <c r="Q239" s="471"/>
      <c r="R239" s="471"/>
      <c r="S239" s="471"/>
      <c r="T239" s="471"/>
      <c r="U239" s="471"/>
      <c r="V239" s="471"/>
      <c r="W239" s="471"/>
      <c r="X239" s="287"/>
      <c r="Y239" s="471"/>
      <c r="Z239" s="471"/>
      <c r="AA239" s="471"/>
      <c r="AB239" s="471"/>
      <c r="AC239" s="471"/>
      <c r="AD239" s="471"/>
      <c r="AE239" s="471"/>
      <c r="AF239" s="471"/>
      <c r="AG239" s="287"/>
      <c r="AH239" s="287"/>
      <c r="AI239" s="470"/>
      <c r="AJ239" s="470"/>
      <c r="AK239" s="470"/>
      <c r="AL239" s="470"/>
      <c r="AM239" s="470"/>
      <c r="AN239" s="470"/>
      <c r="AO239" s="470"/>
      <c r="AP239" s="470"/>
      <c r="AQ239" s="287"/>
      <c r="AR239" s="470"/>
      <c r="AS239" s="470"/>
      <c r="AT239" s="470"/>
      <c r="AU239" s="470"/>
      <c r="AV239" s="470"/>
      <c r="AW239" s="470"/>
      <c r="AX239" s="470"/>
      <c r="AY239" s="470"/>
      <c r="AZ239" s="287"/>
      <c r="BA239" s="470"/>
      <c r="BB239" s="470"/>
      <c r="BC239" s="470"/>
      <c r="BD239" s="470"/>
      <c r="BE239" s="470"/>
      <c r="BF239" s="470"/>
      <c r="BG239" s="470"/>
      <c r="BH239" s="470"/>
      <c r="BI239" s="287"/>
      <c r="BJ239" s="470"/>
      <c r="BK239" s="470"/>
      <c r="BL239" s="470"/>
      <c r="BM239" s="470"/>
      <c r="BN239" s="470"/>
      <c r="BO239" s="470"/>
      <c r="BP239" s="470"/>
      <c r="BQ239" s="470"/>
      <c r="BR239" s="287"/>
      <c r="BS239" s="470"/>
      <c r="BT239" s="470"/>
      <c r="BU239" s="470"/>
      <c r="BV239" s="470"/>
      <c r="BW239" s="470"/>
      <c r="BX239" s="470"/>
      <c r="BY239" s="470"/>
      <c r="BZ239" s="470"/>
      <c r="CA239" s="287"/>
      <c r="CB239" s="470"/>
      <c r="CC239" s="470"/>
      <c r="CD239" s="470"/>
      <c r="CE239" s="470"/>
      <c r="CF239" s="470"/>
      <c r="CG239" s="470"/>
      <c r="CH239" s="470"/>
      <c r="CI239" s="470"/>
      <c r="CJ239" s="287"/>
      <c r="CK239" s="287"/>
      <c r="CL239" s="287"/>
      <c r="CM239" s="287"/>
      <c r="CN239" s="287"/>
      <c r="CO239" s="287"/>
      <c r="CP239" s="287"/>
      <c r="CQ239" s="287"/>
      <c r="CR239" s="287"/>
      <c r="CS239" s="287"/>
      <c r="CT239" s="287"/>
      <c r="CU239" s="287"/>
      <c r="CV239" s="287"/>
      <c r="CW239" s="287"/>
      <c r="CX239" s="287"/>
      <c r="CY239" s="287"/>
      <c r="CZ239" s="287"/>
      <c r="DA239" s="287"/>
      <c r="DB239" s="287"/>
      <c r="DC239" s="287"/>
      <c r="DD239" s="287"/>
      <c r="DE239" s="287"/>
      <c r="DF239" s="287"/>
      <c r="DG239" s="287"/>
      <c r="DH239" s="287"/>
      <c r="DI239" s="287"/>
      <c r="DJ239" s="287"/>
      <c r="DK239" s="287"/>
      <c r="DL239" s="287"/>
      <c r="DM239" s="287"/>
      <c r="DN239" s="287"/>
      <c r="DO239" s="287"/>
      <c r="DP239" s="287"/>
    </row>
    <row r="240" spans="1:120" s="50" customFormat="1" ht="31.5" customHeight="1" x14ac:dyDescent="0.25">
      <c r="A240" s="205"/>
      <c r="B240" s="53"/>
      <c r="C240" s="581"/>
      <c r="D240" s="581"/>
      <c r="E240" s="581"/>
      <c r="F240" s="581"/>
      <c r="G240" s="581"/>
      <c r="H240" s="581"/>
      <c r="I240" s="581"/>
      <c r="J240" s="581"/>
      <c r="K240" s="581"/>
      <c r="L240" s="581"/>
      <c r="M240" s="581"/>
      <c r="N240" s="581"/>
      <c r="O240" s="505"/>
      <c r="P240" s="439"/>
      <c r="Q240" s="287"/>
      <c r="R240" s="287"/>
      <c r="S240" s="287"/>
      <c r="T240" s="287"/>
      <c r="U240" s="287"/>
      <c r="V240" s="287"/>
      <c r="W240" s="287"/>
      <c r="X240" s="287"/>
      <c r="Y240" s="287"/>
      <c r="Z240" s="287"/>
      <c r="AA240" s="287"/>
      <c r="AB240" s="287"/>
      <c r="AC240" s="515"/>
      <c r="AD240" s="515"/>
      <c r="AE240" s="515"/>
      <c r="AF240" s="515"/>
      <c r="AG240" s="515"/>
      <c r="AH240" s="287"/>
      <c r="AI240" s="287"/>
      <c r="AJ240" s="287"/>
      <c r="AK240" s="287"/>
      <c r="AL240" s="287"/>
      <c r="AM240" s="287"/>
      <c r="AN240" s="287"/>
      <c r="AO240" s="287"/>
      <c r="AP240" s="287"/>
      <c r="AQ240" s="287"/>
      <c r="AR240" s="287"/>
      <c r="AS240" s="287"/>
      <c r="AT240" s="287"/>
      <c r="AU240" s="515"/>
      <c r="AV240" s="515"/>
      <c r="AW240" s="515"/>
      <c r="AX240" s="515"/>
      <c r="AY240" s="515"/>
      <c r="AZ240" s="287"/>
      <c r="BA240" s="287"/>
      <c r="BB240" s="287"/>
      <c r="BC240" s="287"/>
      <c r="BD240" s="287"/>
      <c r="BE240" s="513"/>
      <c r="BF240" s="287"/>
      <c r="BG240" s="287"/>
      <c r="BH240" s="287"/>
      <c r="BI240" s="287"/>
      <c r="BJ240" s="287"/>
      <c r="BK240" s="287"/>
      <c r="BL240" s="287"/>
      <c r="BM240" s="515"/>
      <c r="BN240" s="515"/>
      <c r="BO240" s="515"/>
      <c r="BP240" s="515"/>
      <c r="BQ240" s="515"/>
      <c r="BR240" s="287"/>
      <c r="BS240" s="287"/>
      <c r="BT240" s="287"/>
      <c r="BU240" s="287"/>
      <c r="BV240" s="287"/>
      <c r="BW240" s="287"/>
      <c r="BX240" s="287"/>
      <c r="BY240" s="287"/>
      <c r="BZ240" s="287"/>
      <c r="CA240" s="287"/>
      <c r="CB240" s="287"/>
      <c r="CC240" s="287"/>
      <c r="CD240" s="497"/>
      <c r="CE240" s="497"/>
      <c r="CF240" s="497"/>
      <c r="CG240" s="497"/>
      <c r="CH240" s="497"/>
      <c r="CI240" s="497"/>
      <c r="CJ240" s="457"/>
      <c r="CK240" s="504"/>
      <c r="CL240" s="287"/>
      <c r="CM240" s="505"/>
      <c r="CN240" s="505"/>
      <c r="CO240" s="505"/>
      <c r="CP240" s="505"/>
      <c r="CQ240" s="287"/>
      <c r="CR240" s="287"/>
      <c r="CS240" s="287"/>
      <c r="CT240" s="287"/>
      <c r="CU240" s="287"/>
      <c r="CV240" s="287"/>
      <c r="CW240" s="287"/>
      <c r="CX240" s="287"/>
      <c r="CY240" s="287"/>
      <c r="CZ240" s="287"/>
      <c r="DA240" s="287"/>
      <c r="DB240" s="287"/>
      <c r="DC240" s="287"/>
      <c r="DD240" s="287"/>
      <c r="DE240" s="287"/>
      <c r="DF240" s="287"/>
      <c r="DG240" s="287"/>
      <c r="DH240" s="287"/>
      <c r="DI240" s="287"/>
      <c r="DJ240" s="287"/>
      <c r="DK240" s="287"/>
      <c r="DL240" s="287"/>
      <c r="DM240" s="287"/>
      <c r="DN240" s="287"/>
      <c r="DO240" s="287"/>
      <c r="DP240" s="287"/>
    </row>
    <row r="241" spans="1:120" s="50" customFormat="1" ht="15" customHeight="1" x14ac:dyDescent="0.25">
      <c r="A241" s="205"/>
      <c r="C241" s="581"/>
      <c r="D241" s="581"/>
      <c r="E241" s="581"/>
      <c r="F241" s="581"/>
      <c r="G241" s="581"/>
      <c r="H241" s="581"/>
      <c r="I241" s="581"/>
      <c r="J241" s="581"/>
      <c r="K241" s="581"/>
      <c r="L241" s="581"/>
      <c r="M241" s="581"/>
      <c r="N241" s="581"/>
      <c r="O241" s="287"/>
      <c r="P241" s="520"/>
      <c r="Q241" s="287"/>
      <c r="R241" s="287"/>
      <c r="S241" s="287"/>
      <c r="T241" s="287"/>
      <c r="U241" s="287"/>
      <c r="V241" s="287"/>
      <c r="W241" s="287"/>
      <c r="X241" s="287"/>
      <c r="Y241" s="511"/>
      <c r="Z241" s="287"/>
      <c r="AA241" s="287"/>
      <c r="AB241" s="287"/>
      <c r="AC241" s="287"/>
      <c r="AD241" s="287"/>
      <c r="AE241" s="287"/>
      <c r="AF241" s="287"/>
      <c r="AG241" s="287"/>
      <c r="AH241" s="287"/>
      <c r="AI241" s="511"/>
      <c r="AJ241" s="287"/>
      <c r="AK241" s="287"/>
      <c r="AL241" s="287"/>
      <c r="AM241" s="287"/>
      <c r="AN241" s="287"/>
      <c r="AO241" s="287"/>
      <c r="AP241" s="287"/>
      <c r="AQ241" s="287"/>
      <c r="AR241" s="511"/>
      <c r="AS241" s="287"/>
      <c r="AT241" s="287"/>
      <c r="AU241" s="287"/>
      <c r="AV241" s="287"/>
      <c r="AW241" s="287"/>
      <c r="AX241" s="287"/>
      <c r="AY241" s="287"/>
      <c r="AZ241" s="287"/>
      <c r="BA241" s="511"/>
      <c r="BB241" s="287"/>
      <c r="BC241" s="287"/>
      <c r="BD241" s="287"/>
      <c r="BE241" s="513"/>
      <c r="BF241" s="287"/>
      <c r="BG241" s="287"/>
      <c r="BH241" s="287"/>
      <c r="BI241" s="287"/>
      <c r="BJ241" s="511"/>
      <c r="BK241" s="287"/>
      <c r="BL241" s="287"/>
      <c r="BM241" s="287"/>
      <c r="BN241" s="287"/>
      <c r="BO241" s="287"/>
      <c r="BP241" s="287"/>
      <c r="BQ241" s="287"/>
      <c r="BR241" s="287"/>
      <c r="BS241" s="511"/>
      <c r="BT241" s="287"/>
      <c r="BU241" s="287"/>
      <c r="BV241" s="287"/>
      <c r="BW241" s="287"/>
      <c r="BX241" s="287"/>
      <c r="BY241" s="287"/>
      <c r="BZ241" s="287"/>
      <c r="CA241" s="287"/>
      <c r="CB241" s="511"/>
      <c r="CC241" s="287"/>
      <c r="CD241" s="287"/>
      <c r="CE241" s="287"/>
      <c r="CF241" s="287"/>
      <c r="CG241" s="287"/>
      <c r="CH241" s="287"/>
      <c r="CI241" s="287"/>
      <c r="CJ241" s="287"/>
      <c r="CK241" s="287"/>
      <c r="CL241" s="287"/>
      <c r="CM241" s="287"/>
      <c r="CN241" s="287"/>
      <c r="CO241" s="287"/>
      <c r="CP241" s="287"/>
      <c r="CQ241" s="287"/>
      <c r="CR241" s="287"/>
      <c r="CS241" s="287"/>
      <c r="CT241" s="287"/>
      <c r="CU241" s="287"/>
      <c r="CV241" s="287"/>
      <c r="CW241" s="287"/>
      <c r="CX241" s="287"/>
      <c r="CY241" s="287"/>
      <c r="CZ241" s="287"/>
      <c r="DA241" s="287"/>
      <c r="DB241" s="287"/>
      <c r="DC241" s="287"/>
      <c r="DD241" s="287"/>
      <c r="DE241" s="287"/>
      <c r="DF241" s="287"/>
      <c r="DG241" s="287"/>
      <c r="DH241" s="287"/>
      <c r="DI241" s="287"/>
      <c r="DJ241" s="287"/>
      <c r="DK241" s="287"/>
      <c r="DL241" s="287"/>
      <c r="DM241" s="287"/>
      <c r="DN241" s="287"/>
      <c r="DO241" s="287"/>
      <c r="DP241" s="287"/>
    </row>
    <row r="242" spans="1:120" s="50" customFormat="1" ht="15.75" x14ac:dyDescent="0.25">
      <c r="A242" s="205"/>
      <c r="C242" s="581"/>
      <c r="D242" s="581"/>
      <c r="E242" s="581"/>
      <c r="F242" s="581"/>
      <c r="G242" s="581"/>
      <c r="H242" s="581"/>
      <c r="I242" s="581"/>
      <c r="J242" s="581"/>
      <c r="K242" s="581"/>
      <c r="L242" s="581"/>
      <c r="M242" s="581"/>
      <c r="N242" s="581"/>
      <c r="O242" s="287"/>
      <c r="P242" s="520" t="str">
        <f>IF(G212&gt;=3,"Provide a detailed ACTION PLAN for category #3 in the box below","")</f>
        <v/>
      </c>
      <c r="Q242" s="287"/>
      <c r="R242" s="287"/>
      <c r="S242" s="287"/>
      <c r="T242" s="287"/>
      <c r="U242" s="287"/>
      <c r="V242" s="287"/>
      <c r="W242" s="287"/>
      <c r="X242" s="287"/>
      <c r="Y242" s="511"/>
      <c r="Z242" s="287"/>
      <c r="AA242" s="287"/>
      <c r="AB242" s="287"/>
      <c r="AC242" s="287"/>
      <c r="AD242" s="287"/>
      <c r="AE242" s="287"/>
      <c r="AF242" s="287"/>
      <c r="AG242" s="287"/>
      <c r="AH242" s="287"/>
      <c r="AI242" s="511"/>
      <c r="AJ242" s="287"/>
      <c r="AK242" s="287"/>
      <c r="AL242" s="287"/>
      <c r="AM242" s="287"/>
      <c r="AN242" s="287"/>
      <c r="AO242" s="287"/>
      <c r="AP242" s="287"/>
      <c r="AQ242" s="287"/>
      <c r="AR242" s="511"/>
      <c r="AS242" s="287"/>
      <c r="AT242" s="287"/>
      <c r="AU242" s="287"/>
      <c r="AV242" s="287"/>
      <c r="AW242" s="287"/>
      <c r="AX242" s="287"/>
      <c r="AY242" s="287"/>
      <c r="AZ242" s="287"/>
      <c r="BA242" s="511"/>
      <c r="BB242" s="287"/>
      <c r="BC242" s="287"/>
      <c r="BD242" s="287"/>
      <c r="BE242" s="287"/>
      <c r="BF242" s="287"/>
      <c r="BG242" s="287"/>
      <c r="BH242" s="287"/>
      <c r="BI242" s="287"/>
      <c r="BJ242" s="511"/>
      <c r="BK242" s="287"/>
      <c r="BL242" s="287"/>
      <c r="BM242" s="287"/>
      <c r="BN242" s="287"/>
      <c r="BO242" s="287"/>
      <c r="BP242" s="287"/>
      <c r="BQ242" s="287"/>
      <c r="BR242" s="287"/>
      <c r="BS242" s="511"/>
      <c r="BT242" s="287"/>
      <c r="BU242" s="287"/>
      <c r="BV242" s="287"/>
      <c r="BW242" s="287"/>
      <c r="BX242" s="287"/>
      <c r="BY242" s="287"/>
      <c r="BZ242" s="287"/>
      <c r="CA242" s="287"/>
      <c r="CB242" s="511"/>
      <c r="CC242" s="287"/>
      <c r="CD242" s="287"/>
      <c r="CE242" s="287"/>
      <c r="CF242" s="287"/>
      <c r="CG242" s="287"/>
      <c r="CH242" s="287"/>
      <c r="CI242" s="287"/>
      <c r="CJ242" s="287"/>
      <c r="CK242" s="287"/>
      <c r="CL242" s="287"/>
      <c r="CM242" s="287"/>
      <c r="CN242" s="287"/>
      <c r="CO242" s="287"/>
      <c r="CP242" s="287"/>
      <c r="CQ242" s="287"/>
      <c r="CR242" s="287"/>
      <c r="CS242" s="287"/>
      <c r="CT242" s="287"/>
      <c r="CU242" s="287"/>
      <c r="CV242" s="287"/>
      <c r="CW242" s="287"/>
      <c r="CX242" s="287"/>
      <c r="CY242" s="287"/>
      <c r="CZ242" s="287"/>
      <c r="DA242" s="287"/>
      <c r="DB242" s="287"/>
      <c r="DC242" s="287"/>
      <c r="DD242" s="287"/>
      <c r="DE242" s="287"/>
      <c r="DF242" s="287"/>
      <c r="DG242" s="287"/>
      <c r="DH242" s="287"/>
      <c r="DI242" s="287"/>
      <c r="DJ242" s="287"/>
      <c r="DK242" s="287"/>
      <c r="DL242" s="287"/>
      <c r="DM242" s="287"/>
      <c r="DN242" s="287"/>
      <c r="DO242" s="287"/>
      <c r="DP242" s="287"/>
    </row>
    <row r="243" spans="1:120" s="50" customFormat="1" ht="12" customHeight="1" x14ac:dyDescent="0.25">
      <c r="A243" s="205"/>
      <c r="C243" s="581"/>
      <c r="D243" s="581"/>
      <c r="E243" s="581"/>
      <c r="F243" s="581"/>
      <c r="G243" s="581"/>
      <c r="H243" s="581"/>
      <c r="I243" s="581"/>
      <c r="J243" s="581"/>
      <c r="K243" s="581"/>
      <c r="L243" s="581"/>
      <c r="M243" s="581"/>
      <c r="N243" s="581"/>
      <c r="O243" s="767"/>
      <c r="P243" s="471"/>
      <c r="Q243" s="471"/>
      <c r="R243" s="471"/>
      <c r="S243" s="471"/>
      <c r="T243" s="471"/>
      <c r="U243" s="471"/>
      <c r="V243" s="471"/>
      <c r="W243" s="471"/>
      <c r="X243" s="767"/>
      <c r="Y243" s="471"/>
      <c r="Z243" s="471"/>
      <c r="AA243" s="471"/>
      <c r="AB243" s="471"/>
      <c r="AC243" s="471"/>
      <c r="AD243" s="471"/>
      <c r="AE243" s="471"/>
      <c r="AF243" s="471"/>
      <c r="AG243" s="767"/>
      <c r="AH243" s="470"/>
      <c r="AI243" s="470"/>
      <c r="AJ243" s="470"/>
      <c r="AK243" s="470"/>
      <c r="AL243" s="470"/>
      <c r="AM243" s="470"/>
      <c r="AN243" s="470"/>
      <c r="AO243" s="470"/>
      <c r="AP243" s="470"/>
      <c r="AQ243" s="767"/>
      <c r="AR243" s="470"/>
      <c r="AS243" s="470"/>
      <c r="AT243" s="470"/>
      <c r="AU243" s="470"/>
      <c r="AV243" s="470"/>
      <c r="AW243" s="470"/>
      <c r="AX243" s="470"/>
      <c r="AY243" s="470"/>
      <c r="AZ243" s="767"/>
      <c r="BA243" s="470"/>
      <c r="BB243" s="470"/>
      <c r="BC243" s="470"/>
      <c r="BD243" s="470"/>
      <c r="BE243" s="470"/>
      <c r="BF243" s="470"/>
      <c r="BG243" s="470"/>
      <c r="BH243" s="470"/>
      <c r="BI243" s="767"/>
      <c r="BJ243" s="470"/>
      <c r="BK243" s="470"/>
      <c r="BL243" s="470"/>
      <c r="BM243" s="470"/>
      <c r="BN243" s="470"/>
      <c r="BO243" s="470"/>
      <c r="BP243" s="470"/>
      <c r="BQ243" s="470"/>
      <c r="BR243" s="767"/>
      <c r="BS243" s="470"/>
      <c r="BT243" s="470"/>
      <c r="BU243" s="470"/>
      <c r="BV243" s="470"/>
      <c r="BW243" s="470"/>
      <c r="BX243" s="470"/>
      <c r="BY243" s="470"/>
      <c r="BZ243" s="470"/>
      <c r="CA243" s="767"/>
      <c r="CB243" s="470"/>
      <c r="CC243" s="470"/>
      <c r="CD243" s="470"/>
      <c r="CE243" s="470"/>
      <c r="CF243" s="470"/>
      <c r="CG243" s="470"/>
      <c r="CH243" s="470"/>
      <c r="CI243" s="470"/>
      <c r="CJ243" s="767" t="str">
        <f>IF(CJ245=1, "&lt;===", "")</f>
        <v/>
      </c>
      <c r="CK243" s="470"/>
      <c r="CL243" s="470"/>
      <c r="CM243" s="470"/>
      <c r="CN243" s="470"/>
      <c r="CO243" s="470"/>
      <c r="CP243" s="287"/>
      <c r="CQ243" s="287"/>
      <c r="CR243" s="287"/>
      <c r="CS243" s="287"/>
      <c r="CT243" s="287"/>
      <c r="CU243" s="287"/>
      <c r="CV243" s="287"/>
      <c r="CW243" s="287"/>
      <c r="CX243" s="287"/>
      <c r="CY243" s="287"/>
      <c r="CZ243" s="287"/>
      <c r="DA243" s="287"/>
      <c r="DB243" s="287"/>
      <c r="DC243" s="287"/>
      <c r="DD243" s="287"/>
      <c r="DE243" s="287"/>
      <c r="DF243" s="287"/>
      <c r="DG243" s="287"/>
      <c r="DH243" s="287"/>
      <c r="DI243" s="287"/>
      <c r="DJ243" s="287"/>
      <c r="DK243" s="287"/>
      <c r="DL243" s="287"/>
      <c r="DM243" s="287"/>
      <c r="DN243" s="287"/>
      <c r="DO243" s="287"/>
      <c r="DP243" s="287"/>
    </row>
    <row r="244" spans="1:120" s="50" customFormat="1" ht="12" customHeight="1" x14ac:dyDescent="0.25">
      <c r="A244" s="205"/>
      <c r="C244" s="581"/>
      <c r="D244" s="581"/>
      <c r="E244" s="581"/>
      <c r="F244" s="581"/>
      <c r="G244" s="581"/>
      <c r="H244" s="581"/>
      <c r="I244" s="581"/>
      <c r="J244" s="581"/>
      <c r="K244" s="581"/>
      <c r="L244" s="581"/>
      <c r="M244" s="581"/>
      <c r="N244" s="581"/>
      <c r="O244" s="767"/>
      <c r="P244" s="471"/>
      <c r="Q244" s="471"/>
      <c r="R244" s="471"/>
      <c r="S244" s="471"/>
      <c r="T244" s="471"/>
      <c r="U244" s="471"/>
      <c r="V244" s="471"/>
      <c r="W244" s="471"/>
      <c r="X244" s="767"/>
      <c r="Y244" s="471"/>
      <c r="Z244" s="471"/>
      <c r="AA244" s="471"/>
      <c r="AB244" s="471"/>
      <c r="AC244" s="471"/>
      <c r="AD244" s="471"/>
      <c r="AE244" s="471"/>
      <c r="AF244" s="471"/>
      <c r="AG244" s="767"/>
      <c r="AH244" s="470"/>
      <c r="AI244" s="470"/>
      <c r="AJ244" s="470"/>
      <c r="AK244" s="470"/>
      <c r="AL244" s="470"/>
      <c r="AM244" s="470"/>
      <c r="AN244" s="470"/>
      <c r="AO244" s="470"/>
      <c r="AP244" s="470"/>
      <c r="AQ244" s="767"/>
      <c r="AR244" s="470"/>
      <c r="AS244" s="470"/>
      <c r="AT244" s="470"/>
      <c r="AU244" s="470"/>
      <c r="AV244" s="470"/>
      <c r="AW244" s="470"/>
      <c r="AX244" s="470"/>
      <c r="AY244" s="470"/>
      <c r="AZ244" s="767"/>
      <c r="BA244" s="470"/>
      <c r="BB244" s="470"/>
      <c r="BC244" s="470"/>
      <c r="BD244" s="470"/>
      <c r="BE244" s="470"/>
      <c r="BF244" s="470"/>
      <c r="BG244" s="470"/>
      <c r="BH244" s="470"/>
      <c r="BI244" s="767"/>
      <c r="BJ244" s="470"/>
      <c r="BK244" s="470"/>
      <c r="BL244" s="470"/>
      <c r="BM244" s="470"/>
      <c r="BN244" s="470"/>
      <c r="BO244" s="470"/>
      <c r="BP244" s="470"/>
      <c r="BQ244" s="470"/>
      <c r="BR244" s="767"/>
      <c r="BS244" s="470"/>
      <c r="BT244" s="470"/>
      <c r="BU244" s="470"/>
      <c r="BV244" s="470"/>
      <c r="BW244" s="470"/>
      <c r="BX244" s="470"/>
      <c r="BY244" s="470"/>
      <c r="BZ244" s="470"/>
      <c r="CA244" s="767"/>
      <c r="CB244" s="470"/>
      <c r="CC244" s="470"/>
      <c r="CD244" s="470"/>
      <c r="CE244" s="470"/>
      <c r="CF244" s="470"/>
      <c r="CG244" s="470"/>
      <c r="CH244" s="470"/>
      <c r="CI244" s="470"/>
      <c r="CJ244" s="767"/>
      <c r="CK244" s="470"/>
      <c r="CL244" s="470"/>
      <c r="CM244" s="470"/>
      <c r="CN244" s="470"/>
      <c r="CO244" s="470"/>
      <c r="CP244" s="287"/>
      <c r="CQ244" s="287"/>
      <c r="CR244" s="287"/>
      <c r="CS244" s="287"/>
      <c r="CT244" s="287"/>
      <c r="CU244" s="287"/>
      <c r="CV244" s="287"/>
      <c r="CW244" s="287"/>
      <c r="CX244" s="287"/>
      <c r="CY244" s="287"/>
      <c r="CZ244" s="287"/>
      <c r="DA244" s="287"/>
      <c r="DB244" s="287"/>
      <c r="DC244" s="287"/>
      <c r="DD244" s="287"/>
      <c r="DE244" s="287"/>
      <c r="DF244" s="287"/>
      <c r="DG244" s="287"/>
      <c r="DH244" s="287"/>
      <c r="DI244" s="287"/>
      <c r="DJ244" s="287"/>
      <c r="DK244" s="287"/>
      <c r="DL244" s="287"/>
      <c r="DM244" s="287"/>
      <c r="DN244" s="287"/>
      <c r="DO244" s="287"/>
      <c r="DP244" s="287"/>
    </row>
    <row r="245" spans="1:120" s="50" customFormat="1" ht="12" customHeight="1" x14ac:dyDescent="0.25">
      <c r="A245" s="205"/>
      <c r="C245" s="581"/>
      <c r="D245" s="581"/>
      <c r="E245" s="581"/>
      <c r="F245" s="581"/>
      <c r="G245" s="581"/>
      <c r="H245" s="581"/>
      <c r="I245" s="581"/>
      <c r="J245" s="581"/>
      <c r="K245" s="581"/>
      <c r="L245" s="581"/>
      <c r="M245" s="581"/>
      <c r="N245" s="581"/>
      <c r="O245" s="267"/>
      <c r="P245" s="471"/>
      <c r="Q245" s="471"/>
      <c r="R245" s="471"/>
      <c r="S245" s="471"/>
      <c r="T245" s="471"/>
      <c r="U245" s="471"/>
      <c r="V245" s="471"/>
      <c r="W245" s="471"/>
      <c r="X245" s="267"/>
      <c r="Y245" s="471"/>
      <c r="Z245" s="471"/>
      <c r="AA245" s="471"/>
      <c r="AB245" s="471"/>
      <c r="AC245" s="471"/>
      <c r="AD245" s="471"/>
      <c r="AE245" s="471"/>
      <c r="AF245" s="471"/>
      <c r="AG245" s="267"/>
      <c r="AH245" s="470"/>
      <c r="AI245" s="470"/>
      <c r="AJ245" s="470"/>
      <c r="AK245" s="470"/>
      <c r="AL245" s="470"/>
      <c r="AM245" s="470"/>
      <c r="AN245" s="470"/>
      <c r="AO245" s="470"/>
      <c r="AP245" s="470"/>
      <c r="AQ245" s="267"/>
      <c r="AR245" s="470"/>
      <c r="AS245" s="470"/>
      <c r="AT245" s="470"/>
      <c r="AU245" s="470"/>
      <c r="AV245" s="470"/>
      <c r="AW245" s="470"/>
      <c r="AX245" s="470"/>
      <c r="AY245" s="470"/>
      <c r="AZ245" s="267"/>
      <c r="BA245" s="470"/>
      <c r="BB245" s="470"/>
      <c r="BC245" s="470"/>
      <c r="BD245" s="470"/>
      <c r="BE245" s="470"/>
      <c r="BF245" s="470"/>
      <c r="BG245" s="470"/>
      <c r="BH245" s="470"/>
      <c r="BI245" s="267"/>
      <c r="BJ245" s="470"/>
      <c r="BK245" s="470"/>
      <c r="BL245" s="470"/>
      <c r="BM245" s="470"/>
      <c r="BN245" s="470"/>
      <c r="BO245" s="470"/>
      <c r="BP245" s="470"/>
      <c r="BQ245" s="470"/>
      <c r="BR245" s="267"/>
      <c r="BS245" s="470"/>
      <c r="BT245" s="470"/>
      <c r="BU245" s="470"/>
      <c r="BV245" s="470"/>
      <c r="BW245" s="470"/>
      <c r="BX245" s="470"/>
      <c r="BY245" s="470"/>
      <c r="BZ245" s="470"/>
      <c r="CA245" s="267"/>
      <c r="CB245" s="470"/>
      <c r="CC245" s="470"/>
      <c r="CD245" s="470"/>
      <c r="CE245" s="470"/>
      <c r="CF245" s="470"/>
      <c r="CG245" s="470"/>
      <c r="CH245" s="470"/>
      <c r="CI245" s="470"/>
      <c r="CJ245" s="267"/>
      <c r="CK245" s="470"/>
      <c r="CL245" s="470"/>
      <c r="CM245" s="470"/>
      <c r="CN245" s="470"/>
      <c r="CO245" s="470"/>
      <c r="CP245" s="287"/>
      <c r="CQ245" s="287"/>
      <c r="CR245" s="287"/>
      <c r="CS245" s="287"/>
      <c r="CT245" s="287"/>
      <c r="CU245" s="287"/>
      <c r="CV245" s="287"/>
      <c r="CW245" s="287"/>
      <c r="CX245" s="287"/>
      <c r="CY245" s="287"/>
      <c r="CZ245" s="287"/>
      <c r="DA245" s="287"/>
      <c r="DB245" s="287"/>
      <c r="DC245" s="287"/>
      <c r="DD245" s="287"/>
      <c r="DE245" s="287"/>
      <c r="DF245" s="287"/>
      <c r="DG245" s="287"/>
      <c r="DH245" s="287"/>
      <c r="DI245" s="287"/>
      <c r="DJ245" s="287"/>
      <c r="DK245" s="287"/>
      <c r="DL245" s="287"/>
      <c r="DM245" s="287"/>
      <c r="DN245" s="287"/>
      <c r="DO245" s="287"/>
      <c r="DP245" s="287"/>
    </row>
    <row r="246" spans="1:120" s="287" customFormat="1" ht="12" customHeight="1" x14ac:dyDescent="0.25">
      <c r="A246" s="519"/>
      <c r="C246" s="471"/>
      <c r="D246" s="471"/>
      <c r="E246" s="471"/>
      <c r="F246" s="471"/>
      <c r="G246" s="471"/>
      <c r="H246" s="470"/>
      <c r="I246" s="471"/>
      <c r="J246" s="471"/>
      <c r="K246" s="471"/>
      <c r="L246" s="471"/>
      <c r="M246" s="471"/>
      <c r="N246" s="471"/>
      <c r="O246" s="470"/>
      <c r="P246" s="471"/>
      <c r="Q246" s="471"/>
      <c r="R246" s="471"/>
      <c r="S246" s="471"/>
      <c r="T246" s="471"/>
      <c r="U246" s="471"/>
      <c r="V246" s="471"/>
      <c r="W246" s="471"/>
      <c r="X246" s="470"/>
      <c r="Y246" s="471"/>
      <c r="Z246" s="471"/>
      <c r="AA246" s="471"/>
      <c r="AB246" s="471"/>
      <c r="AC246" s="471"/>
      <c r="AD246" s="471"/>
      <c r="AE246" s="471"/>
      <c r="AF246" s="471"/>
      <c r="AG246" s="470"/>
      <c r="AH246" s="470"/>
      <c r="AI246" s="470"/>
      <c r="AJ246" s="470"/>
      <c r="AK246" s="470"/>
      <c r="AL246" s="470"/>
      <c r="AM246" s="470"/>
      <c r="AN246" s="470"/>
      <c r="AO246" s="470"/>
      <c r="AP246" s="470"/>
      <c r="AQ246" s="470"/>
      <c r="AR246" s="470"/>
      <c r="AS246" s="470"/>
      <c r="AT246" s="470"/>
      <c r="AU246" s="470"/>
      <c r="AV246" s="470"/>
      <c r="AW246" s="470"/>
      <c r="AX246" s="470"/>
      <c r="AY246" s="470"/>
      <c r="BA246" s="470"/>
      <c r="BB246" s="470"/>
      <c r="BC246" s="470"/>
      <c r="BD246" s="470"/>
      <c r="BE246" s="470"/>
      <c r="BF246" s="470"/>
      <c r="BG246" s="470"/>
      <c r="BH246" s="470"/>
      <c r="BI246" s="470"/>
      <c r="BJ246" s="470"/>
      <c r="BK246" s="470"/>
      <c r="BL246" s="470"/>
      <c r="BM246" s="470"/>
      <c r="BN246" s="470"/>
      <c r="BO246" s="470"/>
      <c r="BP246" s="470"/>
      <c r="BQ246" s="470"/>
      <c r="BS246" s="470"/>
      <c r="BT246" s="470"/>
      <c r="BU246" s="470"/>
      <c r="BV246" s="470"/>
      <c r="BW246" s="470"/>
      <c r="BX246" s="470"/>
      <c r="BY246" s="470"/>
      <c r="BZ246" s="470"/>
      <c r="CA246" s="470"/>
      <c r="CB246" s="470"/>
      <c r="CC246" s="470"/>
      <c r="CD246" s="470"/>
      <c r="CE246" s="470"/>
      <c r="CF246" s="470"/>
      <c r="CG246" s="470"/>
      <c r="CH246" s="470"/>
      <c r="CI246" s="470"/>
      <c r="CJ246" s="470"/>
      <c r="CK246" s="470"/>
      <c r="CL246" s="470"/>
      <c r="CM246" s="470"/>
      <c r="CN246" s="470"/>
      <c r="CO246" s="470"/>
    </row>
    <row r="247" spans="1:120" s="287" customFormat="1" ht="12" customHeight="1" x14ac:dyDescent="0.25">
      <c r="A247" s="519"/>
      <c r="C247" s="471"/>
      <c r="D247" s="471"/>
      <c r="E247" s="471"/>
      <c r="F247" s="471"/>
      <c r="G247" s="471"/>
      <c r="H247" s="470"/>
      <c r="I247" s="471"/>
      <c r="J247" s="471"/>
      <c r="K247" s="471"/>
      <c r="L247" s="471"/>
      <c r="M247" s="471"/>
      <c r="N247" s="471"/>
      <c r="O247" s="470"/>
      <c r="P247" s="471"/>
      <c r="Q247" s="471"/>
      <c r="R247" s="471"/>
      <c r="S247" s="471"/>
      <c r="T247" s="471"/>
      <c r="U247" s="471"/>
      <c r="V247" s="471"/>
      <c r="W247" s="471"/>
      <c r="X247" s="470"/>
      <c r="Y247" s="471"/>
      <c r="Z247" s="471"/>
      <c r="AA247" s="471"/>
      <c r="AB247" s="471"/>
      <c r="AC247" s="471"/>
      <c r="AD247" s="471"/>
      <c r="AE247" s="471"/>
      <c r="AF247" s="471"/>
      <c r="AG247" s="470"/>
      <c r="AH247" s="470"/>
      <c r="AI247" s="470"/>
      <c r="AJ247" s="470"/>
      <c r="AK247" s="470"/>
      <c r="AL247" s="470"/>
      <c r="AM247" s="470"/>
      <c r="AN247" s="470"/>
      <c r="AO247" s="470"/>
      <c r="AP247" s="470"/>
      <c r="AQ247" s="470"/>
      <c r="AR247" s="470"/>
      <c r="AS247" s="470"/>
      <c r="AT247" s="470"/>
      <c r="AU247" s="470"/>
      <c r="AV247" s="470"/>
      <c r="AW247" s="470"/>
      <c r="AX247" s="470"/>
      <c r="AY247" s="470"/>
      <c r="BA247" s="470"/>
      <c r="BB247" s="470"/>
      <c r="BC247" s="470"/>
      <c r="BD247" s="470"/>
      <c r="BE247" s="470"/>
      <c r="BF247" s="470"/>
      <c r="BG247" s="470"/>
      <c r="BH247" s="470"/>
      <c r="BI247" s="470"/>
      <c r="BJ247" s="470"/>
      <c r="BK247" s="470"/>
      <c r="BL247" s="470"/>
      <c r="BM247" s="470"/>
      <c r="BN247" s="470"/>
      <c r="BO247" s="470"/>
      <c r="BP247" s="470"/>
      <c r="BQ247" s="470"/>
      <c r="BS247" s="470"/>
      <c r="BT247" s="470"/>
      <c r="BU247" s="470"/>
      <c r="BV247" s="470"/>
      <c r="BW247" s="470"/>
      <c r="BX247" s="470"/>
      <c r="BY247" s="470"/>
      <c r="BZ247" s="470"/>
      <c r="CA247" s="470"/>
      <c r="CB247" s="470"/>
      <c r="CC247" s="470"/>
      <c r="CD247" s="470"/>
      <c r="CE247" s="470"/>
      <c r="CF247" s="470"/>
      <c r="CG247" s="470"/>
      <c r="CH247" s="470"/>
      <c r="CI247" s="470"/>
      <c r="CJ247" s="470"/>
      <c r="CK247" s="470"/>
      <c r="CL247" s="470"/>
      <c r="CM247" s="470"/>
      <c r="CN247" s="470"/>
      <c r="CO247" s="470"/>
    </row>
    <row r="248" spans="1:120" s="287" customFormat="1" x14ac:dyDescent="0.25">
      <c r="A248" s="519"/>
      <c r="C248" s="470"/>
      <c r="D248" s="470"/>
      <c r="E248" s="470"/>
      <c r="F248" s="470"/>
      <c r="G248" s="470"/>
      <c r="P248" s="439"/>
    </row>
    <row r="249" spans="1:120" s="427" customFormat="1" x14ac:dyDescent="0.25">
      <c r="A249" s="205"/>
      <c r="O249" s="287"/>
      <c r="P249" s="439"/>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287"/>
      <c r="AT249" s="287"/>
      <c r="AU249" s="287"/>
      <c r="AV249" s="287"/>
      <c r="AW249" s="287"/>
      <c r="AX249" s="287"/>
      <c r="AY249" s="287"/>
      <c r="AZ249" s="287"/>
      <c r="BA249" s="287"/>
      <c r="BB249" s="287"/>
      <c r="BC249" s="287"/>
      <c r="BD249" s="287"/>
      <c r="BE249" s="287"/>
      <c r="BF249" s="287"/>
      <c r="BG249" s="287"/>
      <c r="BH249" s="287"/>
      <c r="BI249" s="287"/>
      <c r="BJ249" s="287"/>
      <c r="BK249" s="287"/>
      <c r="BL249" s="287"/>
      <c r="BM249" s="287"/>
      <c r="BN249" s="287"/>
      <c r="BO249" s="287"/>
      <c r="BP249" s="287"/>
      <c r="BQ249" s="287"/>
      <c r="BR249" s="287"/>
      <c r="BS249" s="287"/>
      <c r="BT249" s="287"/>
      <c r="BU249" s="287"/>
      <c r="BV249" s="287"/>
      <c r="BW249" s="287"/>
      <c r="BX249" s="287"/>
      <c r="BY249" s="287"/>
      <c r="BZ249" s="287"/>
      <c r="CA249" s="287"/>
      <c r="CB249" s="287"/>
      <c r="CC249" s="287"/>
      <c r="CD249" s="287"/>
      <c r="CE249" s="287"/>
      <c r="CF249" s="287"/>
      <c r="CG249" s="287"/>
      <c r="CH249" s="287"/>
      <c r="CI249" s="287"/>
      <c r="CJ249" s="287"/>
      <c r="CK249" s="287"/>
      <c r="CL249" s="287"/>
      <c r="CM249" s="287"/>
      <c r="CN249" s="287"/>
      <c r="CO249" s="287"/>
      <c r="CP249" s="287"/>
      <c r="CQ249" s="287"/>
      <c r="CR249" s="287"/>
      <c r="CS249" s="287"/>
      <c r="CT249" s="287"/>
      <c r="CU249" s="287"/>
      <c r="CV249" s="287"/>
      <c r="CW249" s="287"/>
      <c r="CX249" s="287"/>
      <c r="CY249" s="287"/>
      <c r="CZ249" s="287"/>
      <c r="DA249" s="287"/>
      <c r="DB249" s="287"/>
      <c r="DC249" s="287"/>
      <c r="DD249" s="287"/>
      <c r="DE249" s="287"/>
      <c r="DF249" s="287"/>
      <c r="DG249" s="287"/>
      <c r="DH249" s="287"/>
      <c r="DI249" s="287"/>
      <c r="DJ249" s="287"/>
      <c r="DK249" s="287"/>
      <c r="DL249" s="287"/>
      <c r="DM249" s="287"/>
      <c r="DN249" s="287"/>
      <c r="DO249" s="287"/>
      <c r="DP249" s="287"/>
    </row>
    <row r="250" spans="1:120" s="46" customFormat="1" hidden="1" x14ac:dyDescent="0.25">
      <c r="A250" s="205"/>
      <c r="O250" s="287"/>
      <c r="P250" s="439"/>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7"/>
      <c r="AY250" s="287"/>
      <c r="AZ250" s="287"/>
      <c r="BA250" s="287"/>
      <c r="BB250" s="287"/>
      <c r="BC250" s="287"/>
      <c r="BD250" s="287"/>
      <c r="BE250" s="513"/>
      <c r="BF250" s="287"/>
      <c r="BG250" s="287"/>
      <c r="BH250" s="287"/>
      <c r="BI250" s="287"/>
      <c r="BJ250" s="287"/>
      <c r="BK250" s="287"/>
      <c r="BL250" s="287"/>
      <c r="BM250" s="287"/>
      <c r="BN250" s="287"/>
      <c r="BO250" s="287"/>
      <c r="BP250" s="287"/>
      <c r="BQ250" s="287"/>
      <c r="BR250" s="287"/>
      <c r="BS250" s="287"/>
      <c r="BT250" s="287"/>
      <c r="BU250" s="287"/>
      <c r="BV250" s="287"/>
      <c r="BW250" s="287"/>
      <c r="BX250" s="287"/>
      <c r="BY250" s="287"/>
      <c r="BZ250" s="287"/>
      <c r="CA250" s="287"/>
      <c r="CB250" s="287"/>
      <c r="CC250" s="287"/>
      <c r="CD250" s="287"/>
      <c r="CE250" s="287"/>
      <c r="CF250" s="287"/>
      <c r="CG250" s="287"/>
      <c r="CH250" s="287"/>
      <c r="CI250" s="287"/>
      <c r="CJ250" s="287"/>
      <c r="CK250" s="287"/>
      <c r="CL250" s="287"/>
      <c r="CM250" s="287"/>
      <c r="CN250" s="287"/>
      <c r="CO250" s="287"/>
      <c r="CP250" s="287"/>
      <c r="CQ250" s="287"/>
      <c r="CR250" s="287"/>
      <c r="CS250" s="287"/>
      <c r="CT250" s="287"/>
      <c r="CU250" s="287"/>
      <c r="CV250" s="287"/>
      <c r="CW250" s="287"/>
      <c r="CX250" s="287"/>
      <c r="CY250" s="287"/>
      <c r="CZ250" s="287"/>
      <c r="DA250" s="287"/>
      <c r="DB250" s="287"/>
      <c r="DC250" s="287"/>
      <c r="DD250" s="287"/>
      <c r="DE250" s="287"/>
      <c r="DF250" s="287"/>
      <c r="DG250" s="287"/>
      <c r="DH250" s="287"/>
      <c r="DI250" s="287"/>
      <c r="DJ250" s="287"/>
      <c r="DK250" s="287"/>
      <c r="DL250" s="287"/>
      <c r="DM250" s="287"/>
      <c r="DN250" s="287"/>
      <c r="DO250" s="287"/>
      <c r="DP250" s="287"/>
    </row>
    <row r="251" spans="1:120" s="16" customFormat="1" hidden="1" x14ac:dyDescent="0.25">
      <c r="A251" s="205"/>
      <c r="B251" s="19"/>
      <c r="C251" s="20">
        <f>$D$16</f>
        <v>0</v>
      </c>
      <c r="D251" s="618">
        <f>$D$18</f>
        <v>0</v>
      </c>
      <c r="E251" s="618"/>
      <c r="F251" s="618"/>
      <c r="G251" s="618"/>
      <c r="H251" s="618"/>
      <c r="I251" s="618"/>
      <c r="J251" s="618"/>
      <c r="K251" s="618"/>
      <c r="O251" s="287"/>
      <c r="P251" s="439"/>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7"/>
      <c r="AY251" s="287"/>
      <c r="AZ251" s="287"/>
      <c r="BA251" s="287"/>
      <c r="BB251" s="287"/>
      <c r="BC251" s="287"/>
      <c r="BD251" s="287"/>
      <c r="BE251" s="287"/>
      <c r="BF251" s="287"/>
      <c r="BG251" s="287"/>
      <c r="BH251" s="287"/>
      <c r="BI251" s="287"/>
      <c r="BJ251" s="287"/>
      <c r="BK251" s="287"/>
      <c r="BL251" s="287"/>
      <c r="BM251" s="287"/>
      <c r="BN251" s="287"/>
      <c r="BO251" s="287"/>
      <c r="BP251" s="287"/>
      <c r="BQ251" s="287"/>
      <c r="BR251" s="287"/>
      <c r="BS251" s="287"/>
      <c r="BT251" s="287"/>
      <c r="BU251" s="287"/>
      <c r="BV251" s="287"/>
      <c r="BW251" s="287"/>
      <c r="BX251" s="287"/>
      <c r="BY251" s="287"/>
      <c r="BZ251" s="287"/>
      <c r="CA251" s="287"/>
      <c r="CB251" s="287"/>
      <c r="CC251" s="287"/>
      <c r="CD251" s="287"/>
      <c r="CE251" s="287"/>
      <c r="CF251" s="287"/>
      <c r="CG251" s="287"/>
      <c r="CH251" s="287"/>
      <c r="CI251" s="287"/>
      <c r="CJ251" s="287"/>
      <c r="CK251" s="287"/>
      <c r="CL251" s="287"/>
      <c r="CM251" s="287"/>
      <c r="CN251" s="287"/>
      <c r="CO251" s="287"/>
      <c r="CP251" s="287"/>
      <c r="CQ251" s="287"/>
      <c r="CR251" s="287"/>
      <c r="CS251" s="287"/>
      <c r="CT251" s="287"/>
      <c r="CU251" s="287"/>
      <c r="CV251" s="287"/>
      <c r="CW251" s="287"/>
      <c r="CX251" s="287"/>
      <c r="CY251" s="287"/>
      <c r="CZ251" s="287"/>
      <c r="DA251" s="287"/>
      <c r="DB251" s="287"/>
      <c r="DC251" s="287"/>
      <c r="DD251" s="287"/>
      <c r="DE251" s="287"/>
      <c r="DF251" s="287"/>
      <c r="DG251" s="287"/>
      <c r="DH251" s="287"/>
      <c r="DI251" s="287"/>
      <c r="DJ251" s="287"/>
      <c r="DK251" s="287"/>
      <c r="DL251" s="287"/>
      <c r="DM251" s="287"/>
      <c r="DN251" s="287"/>
      <c r="DO251" s="287"/>
      <c r="DP251" s="287"/>
    </row>
    <row r="252" spans="1:120" s="16" customFormat="1" hidden="1" x14ac:dyDescent="0.25">
      <c r="A252" s="205"/>
      <c r="O252" s="287"/>
      <c r="P252" s="439"/>
      <c r="Q252" s="287"/>
      <c r="R252" s="287"/>
      <c r="S252" s="287"/>
      <c r="T252" s="287"/>
      <c r="U252" s="287"/>
      <c r="V252" s="287"/>
      <c r="W252" s="287"/>
      <c r="X252" s="287"/>
      <c r="Y252" s="287"/>
      <c r="Z252" s="287"/>
      <c r="AA252" s="287"/>
      <c r="AB252" s="287"/>
      <c r="AC252" s="287"/>
      <c r="AD252" s="287"/>
      <c r="AE252" s="287"/>
      <c r="AF252" s="287"/>
      <c r="AG252" s="287"/>
      <c r="AH252" s="287"/>
      <c r="AI252" s="287"/>
      <c r="AJ252" s="287"/>
      <c r="AK252" s="287"/>
      <c r="AL252" s="287"/>
      <c r="AM252" s="287"/>
      <c r="AN252" s="287"/>
      <c r="AO252" s="287"/>
      <c r="AP252" s="287"/>
      <c r="AQ252" s="287"/>
      <c r="AR252" s="287"/>
      <c r="AS252" s="287"/>
      <c r="AT252" s="287"/>
      <c r="AU252" s="287"/>
      <c r="AV252" s="287"/>
      <c r="AW252" s="287"/>
      <c r="AX252" s="287"/>
      <c r="AY252" s="287"/>
      <c r="AZ252" s="287"/>
      <c r="BA252" s="287"/>
      <c r="BB252" s="287"/>
      <c r="BC252" s="287"/>
      <c r="BD252" s="287"/>
      <c r="BE252" s="287"/>
      <c r="BF252" s="287"/>
      <c r="BG252" s="287"/>
      <c r="BH252" s="287"/>
      <c r="BI252" s="287"/>
      <c r="BJ252" s="287"/>
      <c r="BK252" s="287"/>
      <c r="BL252" s="287"/>
      <c r="BM252" s="287"/>
      <c r="BN252" s="287"/>
      <c r="BO252" s="287"/>
      <c r="BP252" s="287"/>
      <c r="BQ252" s="287"/>
      <c r="BR252" s="287"/>
      <c r="BS252" s="287"/>
      <c r="BT252" s="287"/>
      <c r="BU252" s="287"/>
      <c r="BV252" s="287"/>
      <c r="BW252" s="287"/>
      <c r="BX252" s="287"/>
      <c r="BY252" s="287"/>
      <c r="BZ252" s="287"/>
      <c r="CA252" s="287"/>
      <c r="CB252" s="287"/>
      <c r="CC252" s="287"/>
      <c r="CD252" s="287"/>
      <c r="CE252" s="287"/>
      <c r="CF252" s="287"/>
      <c r="CG252" s="287"/>
      <c r="CH252" s="287"/>
      <c r="CI252" s="287"/>
      <c r="CJ252" s="287"/>
      <c r="CK252" s="287"/>
      <c r="CL252" s="287"/>
      <c r="CM252" s="287"/>
      <c r="CN252" s="287"/>
      <c r="CO252" s="287"/>
      <c r="CP252" s="287"/>
      <c r="CQ252" s="287"/>
      <c r="CR252" s="287"/>
      <c r="CS252" s="287"/>
      <c r="CT252" s="287"/>
      <c r="CU252" s="287"/>
      <c r="CV252" s="287"/>
      <c r="CW252" s="287"/>
      <c r="CX252" s="287"/>
      <c r="CY252" s="287"/>
      <c r="CZ252" s="287"/>
      <c r="DA252" s="287"/>
      <c r="DB252" s="287"/>
      <c r="DC252" s="287"/>
      <c r="DD252" s="287"/>
      <c r="DE252" s="287"/>
      <c r="DF252" s="287"/>
      <c r="DG252" s="287"/>
      <c r="DH252" s="287"/>
      <c r="DI252" s="287"/>
      <c r="DJ252" s="287"/>
      <c r="DK252" s="287"/>
      <c r="DL252" s="287"/>
      <c r="DM252" s="287"/>
      <c r="DN252" s="287"/>
      <c r="DO252" s="287"/>
      <c r="DP252" s="287"/>
    </row>
    <row r="253" spans="1:120" s="16" customFormat="1" ht="18" hidden="1" x14ac:dyDescent="0.25">
      <c r="A253" s="205"/>
      <c r="B253" s="153" t="s">
        <v>0</v>
      </c>
      <c r="C253" s="154"/>
      <c r="D253" s="154"/>
      <c r="E253" s="154"/>
      <c r="F253" s="155"/>
      <c r="G253" s="154"/>
      <c r="H253" s="154"/>
      <c r="I253" s="154"/>
      <c r="J253" s="154"/>
      <c r="K253" s="154"/>
      <c r="L253" s="154"/>
      <c r="M253" s="154"/>
      <c r="N253" s="154"/>
      <c r="O253" s="287"/>
      <c r="P253" s="439"/>
      <c r="Q253" s="287"/>
      <c r="R253" s="287"/>
      <c r="S253" s="287"/>
      <c r="T253" s="287"/>
      <c r="U253" s="287"/>
      <c r="V253" s="287"/>
      <c r="W253" s="287"/>
      <c r="X253" s="287"/>
      <c r="Y253" s="287"/>
      <c r="Z253" s="287"/>
      <c r="AA253" s="287"/>
      <c r="AB253" s="287"/>
      <c r="AC253" s="287"/>
      <c r="AD253" s="287"/>
      <c r="AE253" s="287"/>
      <c r="AF253" s="287"/>
      <c r="AG253" s="287"/>
      <c r="AH253" s="287"/>
      <c r="AI253" s="287"/>
      <c r="AJ253" s="287"/>
      <c r="AK253" s="287"/>
      <c r="AL253" s="287"/>
      <c r="AM253" s="287"/>
      <c r="AN253" s="287"/>
      <c r="AO253" s="287"/>
      <c r="AP253" s="287"/>
      <c r="AQ253" s="287"/>
      <c r="AR253" s="287"/>
      <c r="AS253" s="287"/>
      <c r="AT253" s="287"/>
      <c r="AU253" s="287"/>
      <c r="AV253" s="287"/>
      <c r="AW253" s="287"/>
      <c r="AX253" s="287"/>
      <c r="AY253" s="287"/>
      <c r="AZ253" s="287"/>
      <c r="BA253" s="287"/>
      <c r="BB253" s="287"/>
      <c r="BC253" s="287"/>
      <c r="BD253" s="287"/>
      <c r="BE253" s="287"/>
      <c r="BF253" s="287"/>
      <c r="BG253" s="287"/>
      <c r="BH253" s="287"/>
      <c r="BI253" s="287"/>
      <c r="BJ253" s="287"/>
      <c r="BK253" s="287"/>
      <c r="BL253" s="287"/>
      <c r="BM253" s="287"/>
      <c r="BN253" s="287"/>
      <c r="BO253" s="287"/>
      <c r="BP253" s="287"/>
      <c r="BQ253" s="287"/>
      <c r="BR253" s="287"/>
      <c r="BS253" s="287"/>
      <c r="BT253" s="287"/>
      <c r="BU253" s="287"/>
      <c r="BV253" s="287"/>
      <c r="BW253" s="287"/>
      <c r="BX253" s="287"/>
      <c r="BY253" s="287"/>
      <c r="BZ253" s="287"/>
      <c r="CA253" s="287"/>
      <c r="CB253" s="287"/>
      <c r="CC253" s="287"/>
      <c r="CD253" s="287"/>
      <c r="CE253" s="287"/>
      <c r="CF253" s="287"/>
      <c r="CG253" s="287"/>
      <c r="CH253" s="287"/>
      <c r="CI253" s="287"/>
      <c r="CJ253" s="287"/>
      <c r="CK253" s="287"/>
      <c r="CL253" s="287"/>
      <c r="CM253" s="287"/>
      <c r="CN253" s="287"/>
      <c r="CO253" s="287"/>
      <c r="CP253" s="287"/>
      <c r="CQ253" s="287"/>
      <c r="CR253" s="287"/>
      <c r="CS253" s="287"/>
      <c r="CT253" s="287"/>
      <c r="CU253" s="287"/>
      <c r="CV253" s="287"/>
      <c r="CW253" s="287"/>
      <c r="CX253" s="287"/>
      <c r="CY253" s="287"/>
      <c r="CZ253" s="287"/>
      <c r="DA253" s="287"/>
      <c r="DB253" s="287"/>
      <c r="DC253" s="287"/>
      <c r="DD253" s="287"/>
      <c r="DE253" s="287"/>
      <c r="DF253" s="287"/>
      <c r="DG253" s="287"/>
      <c r="DH253" s="287"/>
      <c r="DI253" s="287"/>
      <c r="DJ253" s="287"/>
      <c r="DK253" s="287"/>
      <c r="DL253" s="287"/>
      <c r="DM253" s="287"/>
      <c r="DN253" s="287"/>
      <c r="DO253" s="287"/>
      <c r="DP253" s="287"/>
    </row>
    <row r="254" spans="1:120" s="16" customFormat="1" ht="119.25" hidden="1" customHeight="1" x14ac:dyDescent="0.25">
      <c r="A254" s="205"/>
      <c r="B254" s="726" t="s">
        <v>45</v>
      </c>
      <c r="C254" s="726"/>
      <c r="D254" s="726"/>
      <c r="E254" s="726"/>
      <c r="F254" s="726"/>
      <c r="G254" s="726"/>
      <c r="H254" s="726"/>
      <c r="I254" s="726"/>
      <c r="J254" s="726"/>
      <c r="K254" s="726"/>
      <c r="L254" s="726"/>
      <c r="M254" s="726"/>
      <c r="N254" s="726"/>
      <c r="O254" s="441"/>
      <c r="P254" s="439"/>
      <c r="Q254" s="287"/>
      <c r="R254" s="287"/>
      <c r="S254" s="287"/>
      <c r="T254" s="287"/>
      <c r="U254" s="287"/>
      <c r="V254" s="287"/>
      <c r="W254" s="287"/>
      <c r="X254" s="287"/>
      <c r="Y254" s="287"/>
      <c r="Z254" s="287"/>
      <c r="AA254" s="287"/>
      <c r="AB254" s="287"/>
      <c r="AC254" s="287"/>
      <c r="AD254" s="287"/>
      <c r="AE254" s="287"/>
      <c r="AF254" s="287"/>
      <c r="AG254" s="287"/>
      <c r="AH254" s="287"/>
      <c r="AI254" s="287"/>
      <c r="AJ254" s="287"/>
      <c r="AK254" s="287"/>
      <c r="AL254" s="287"/>
      <c r="AM254" s="287"/>
      <c r="AN254" s="287"/>
      <c r="AO254" s="287"/>
      <c r="AP254" s="287"/>
      <c r="AQ254" s="287"/>
      <c r="AR254" s="287"/>
      <c r="AS254" s="287"/>
      <c r="AT254" s="287"/>
      <c r="AU254" s="287"/>
      <c r="AV254" s="287"/>
      <c r="AW254" s="287"/>
      <c r="AX254" s="287"/>
      <c r="AY254" s="287"/>
      <c r="AZ254" s="287"/>
      <c r="BA254" s="287"/>
      <c r="BB254" s="287"/>
      <c r="BC254" s="287"/>
      <c r="BD254" s="287"/>
      <c r="BE254" s="287"/>
      <c r="BF254" s="287"/>
      <c r="BG254" s="287"/>
      <c r="BH254" s="287"/>
      <c r="BI254" s="287"/>
      <c r="BJ254" s="287"/>
      <c r="BK254" s="287"/>
      <c r="BL254" s="287"/>
      <c r="BM254" s="287"/>
      <c r="BN254" s="287"/>
      <c r="BO254" s="287"/>
      <c r="BP254" s="287"/>
      <c r="BQ254" s="287"/>
      <c r="BR254" s="287"/>
      <c r="BS254" s="287"/>
      <c r="BT254" s="287"/>
      <c r="BU254" s="287"/>
      <c r="BV254" s="287"/>
      <c r="BW254" s="287"/>
      <c r="BX254" s="287"/>
      <c r="BY254" s="287"/>
      <c r="BZ254" s="287"/>
      <c r="CA254" s="287"/>
      <c r="CB254" s="287"/>
      <c r="CC254" s="287"/>
      <c r="CD254" s="287"/>
      <c r="CE254" s="287"/>
      <c r="CF254" s="287"/>
      <c r="CG254" s="287"/>
      <c r="CH254" s="287"/>
      <c r="CI254" s="287"/>
      <c r="CJ254" s="287"/>
      <c r="CK254" s="287"/>
      <c r="CL254" s="287"/>
      <c r="CM254" s="287"/>
      <c r="CN254" s="287"/>
      <c r="CO254" s="287"/>
      <c r="CP254" s="287"/>
      <c r="CQ254" s="287"/>
      <c r="CR254" s="287"/>
      <c r="CS254" s="287"/>
      <c r="CT254" s="287"/>
      <c r="CU254" s="287"/>
      <c r="CV254" s="287"/>
      <c r="CW254" s="287"/>
      <c r="CX254" s="287"/>
      <c r="CY254" s="287"/>
      <c r="CZ254" s="287"/>
      <c r="DA254" s="287"/>
      <c r="DB254" s="287"/>
      <c r="DC254" s="287"/>
      <c r="DD254" s="287"/>
      <c r="DE254" s="287"/>
      <c r="DF254" s="287"/>
      <c r="DG254" s="287"/>
      <c r="DH254" s="287"/>
      <c r="DI254" s="287"/>
      <c r="DJ254" s="287"/>
      <c r="DK254" s="287"/>
      <c r="DL254" s="287"/>
      <c r="DM254" s="287"/>
      <c r="DN254" s="287"/>
      <c r="DO254" s="287"/>
      <c r="DP254" s="287"/>
    </row>
    <row r="255" spans="1:120" s="16" customFormat="1" ht="23.25" hidden="1" customHeight="1" x14ac:dyDescent="0.25">
      <c r="A255" s="205"/>
      <c r="B255" s="765" t="s">
        <v>9</v>
      </c>
      <c r="C255" s="765"/>
      <c r="D255" s="765"/>
      <c r="E255" s="765"/>
      <c r="F255" s="765"/>
      <c r="G255" s="765"/>
      <c r="H255" s="765"/>
      <c r="I255" s="765"/>
      <c r="J255" s="765"/>
      <c r="K255" s="765"/>
      <c r="L255" s="765"/>
      <c r="M255" s="765"/>
      <c r="N255" s="765"/>
      <c r="O255" s="287"/>
      <c r="P255" s="439"/>
      <c r="Q255" s="287"/>
      <c r="R255" s="287"/>
      <c r="S255" s="287"/>
      <c r="T255" s="287"/>
      <c r="U255" s="287"/>
      <c r="V255" s="287"/>
      <c r="W255" s="287"/>
      <c r="X255" s="287"/>
      <c r="Y255" s="287"/>
      <c r="Z255" s="287"/>
      <c r="AA255" s="287"/>
      <c r="AB255" s="287"/>
      <c r="AC255" s="287"/>
      <c r="AD255" s="287"/>
      <c r="AE255" s="287"/>
      <c r="AF255" s="287"/>
      <c r="AG255" s="287"/>
      <c r="AH255" s="287"/>
      <c r="AI255" s="287"/>
      <c r="AJ255" s="287"/>
      <c r="AK255" s="287"/>
      <c r="AL255" s="287"/>
      <c r="AM255" s="287"/>
      <c r="AN255" s="287"/>
      <c r="AO255" s="287"/>
      <c r="AP255" s="287"/>
      <c r="AQ255" s="287"/>
      <c r="AR255" s="287"/>
      <c r="AS255" s="287"/>
      <c r="AT255" s="287"/>
      <c r="AU255" s="287"/>
      <c r="AV255" s="287"/>
      <c r="AW255" s="287"/>
      <c r="AX255" s="287"/>
      <c r="AY255" s="287"/>
      <c r="AZ255" s="287"/>
      <c r="BA255" s="287"/>
      <c r="BB255" s="287"/>
      <c r="BC255" s="287"/>
      <c r="BD255" s="287"/>
      <c r="BE255" s="287"/>
      <c r="BF255" s="287"/>
      <c r="BG255" s="287"/>
      <c r="BH255" s="287"/>
      <c r="BI255" s="287"/>
      <c r="BJ255" s="287"/>
      <c r="BK255" s="287"/>
      <c r="BL255" s="287"/>
      <c r="BM255" s="287"/>
      <c r="BN255" s="287"/>
      <c r="BO255" s="287"/>
      <c r="BP255" s="287"/>
      <c r="BQ255" s="287"/>
      <c r="BR255" s="287"/>
      <c r="BS255" s="287"/>
      <c r="BT255" s="287"/>
      <c r="BU255" s="287"/>
      <c r="BV255" s="287"/>
      <c r="BW255" s="287"/>
      <c r="BX255" s="287"/>
      <c r="BY255" s="287"/>
      <c r="BZ255" s="287"/>
      <c r="CA255" s="287"/>
      <c r="CB255" s="287"/>
      <c r="CC255" s="287"/>
      <c r="CD255" s="287"/>
      <c r="CE255" s="287"/>
      <c r="CF255" s="287"/>
      <c r="CG255" s="287"/>
      <c r="CH255" s="287"/>
      <c r="CI255" s="287"/>
      <c r="CJ255" s="287"/>
      <c r="CK255" s="287"/>
      <c r="CL255" s="287"/>
      <c r="CM255" s="287"/>
      <c r="CN255" s="287"/>
      <c r="CO255" s="287"/>
      <c r="CP255" s="287"/>
      <c r="CQ255" s="287"/>
      <c r="CR255" s="287"/>
      <c r="CS255" s="287"/>
      <c r="CT255" s="287"/>
      <c r="CU255" s="287"/>
      <c r="CV255" s="287"/>
      <c r="CW255" s="287"/>
      <c r="CX255" s="287"/>
      <c r="CY255" s="287"/>
      <c r="CZ255" s="287"/>
      <c r="DA255" s="287"/>
      <c r="DB255" s="287"/>
      <c r="DC255" s="287"/>
      <c r="DD255" s="287"/>
      <c r="DE255" s="287"/>
      <c r="DF255" s="287"/>
      <c r="DG255" s="287"/>
      <c r="DH255" s="287"/>
      <c r="DI255" s="287"/>
      <c r="DJ255" s="287"/>
      <c r="DK255" s="287"/>
      <c r="DL255" s="287"/>
      <c r="DM255" s="287"/>
      <c r="DN255" s="287"/>
      <c r="DO255" s="287"/>
      <c r="DP255" s="287"/>
    </row>
    <row r="256" spans="1:120" s="16" customFormat="1" hidden="1" x14ac:dyDescent="0.25">
      <c r="A256" s="205"/>
      <c r="O256" s="287"/>
      <c r="P256" s="439"/>
      <c r="Q256" s="287"/>
      <c r="R256" s="287"/>
      <c r="S256" s="287"/>
      <c r="T256" s="287"/>
      <c r="U256" s="287"/>
      <c r="V256" s="287"/>
      <c r="W256" s="287"/>
      <c r="X256" s="287"/>
      <c r="Y256" s="287"/>
      <c r="Z256" s="287"/>
      <c r="AA256" s="287"/>
      <c r="AB256" s="287"/>
      <c r="AC256" s="287"/>
      <c r="AD256" s="287"/>
      <c r="AE256" s="287"/>
      <c r="AF256" s="287"/>
      <c r="AG256" s="287"/>
      <c r="AH256" s="287"/>
      <c r="AI256" s="287"/>
      <c r="AJ256" s="287"/>
      <c r="AK256" s="287"/>
      <c r="AL256" s="287"/>
      <c r="AM256" s="287"/>
      <c r="AN256" s="287"/>
      <c r="AO256" s="287"/>
      <c r="AP256" s="287"/>
      <c r="AQ256" s="287"/>
      <c r="AR256" s="287"/>
      <c r="AS256" s="287"/>
      <c r="AT256" s="287"/>
      <c r="AU256" s="287"/>
      <c r="AV256" s="287"/>
      <c r="AW256" s="287"/>
      <c r="AX256" s="287"/>
      <c r="AY256" s="287"/>
      <c r="AZ256" s="287"/>
      <c r="BA256" s="287"/>
      <c r="BB256" s="287"/>
      <c r="BC256" s="287"/>
      <c r="BD256" s="287"/>
      <c r="BE256" s="287"/>
      <c r="BF256" s="287"/>
      <c r="BG256" s="287"/>
      <c r="BH256" s="287"/>
      <c r="BI256" s="287"/>
      <c r="BJ256" s="287"/>
      <c r="BK256" s="287"/>
      <c r="BL256" s="287"/>
      <c r="BM256" s="287"/>
      <c r="BN256" s="287"/>
      <c r="BO256" s="287"/>
      <c r="BP256" s="287"/>
      <c r="BQ256" s="287"/>
      <c r="BR256" s="287"/>
      <c r="BS256" s="287"/>
      <c r="BT256" s="287"/>
      <c r="BU256" s="287"/>
      <c r="BV256" s="287"/>
      <c r="BW256" s="287"/>
      <c r="BX256" s="287"/>
      <c r="BY256" s="287"/>
      <c r="BZ256" s="287"/>
      <c r="CA256" s="287"/>
      <c r="CB256" s="287"/>
      <c r="CC256" s="287"/>
      <c r="CD256" s="287"/>
      <c r="CE256" s="287"/>
      <c r="CF256" s="287"/>
      <c r="CG256" s="287"/>
      <c r="CH256" s="287"/>
      <c r="CI256" s="287"/>
      <c r="CJ256" s="287"/>
      <c r="CK256" s="287"/>
      <c r="CL256" s="287"/>
      <c r="CM256" s="287"/>
      <c r="CN256" s="287"/>
      <c r="CO256" s="287"/>
      <c r="CP256" s="287"/>
      <c r="CQ256" s="287"/>
      <c r="CR256" s="287"/>
      <c r="CS256" s="287"/>
      <c r="CT256" s="287"/>
      <c r="CU256" s="287"/>
      <c r="CV256" s="287"/>
      <c r="CW256" s="287"/>
      <c r="CX256" s="287"/>
      <c r="CY256" s="287"/>
      <c r="CZ256" s="287"/>
      <c r="DA256" s="287"/>
      <c r="DB256" s="287"/>
      <c r="DC256" s="287"/>
      <c r="DD256" s="287"/>
      <c r="DE256" s="287"/>
      <c r="DF256" s="287"/>
      <c r="DG256" s="287"/>
      <c r="DH256" s="287"/>
      <c r="DI256" s="287"/>
      <c r="DJ256" s="287"/>
      <c r="DK256" s="287"/>
      <c r="DL256" s="287"/>
      <c r="DM256" s="287"/>
      <c r="DN256" s="287"/>
      <c r="DO256" s="287"/>
      <c r="DP256" s="287"/>
    </row>
    <row r="257" spans="1:120" s="16" customFormat="1" ht="30.75" hidden="1" customHeight="1" x14ac:dyDescent="0.25">
      <c r="A257" s="205"/>
      <c r="B257" s="9"/>
      <c r="C257" s="723" t="s">
        <v>8</v>
      </c>
      <c r="D257" s="723"/>
      <c r="E257" s="723"/>
      <c r="F257" s="724"/>
      <c r="G257" s="111"/>
      <c r="H257" s="104" t="str">
        <f>IF($G$257="", " &lt;=== Select from drop down list","")</f>
        <v xml:space="preserve"> &lt;=== Select from drop down list</v>
      </c>
      <c r="J257" s="199"/>
      <c r="O257" s="287"/>
      <c r="P257" s="439"/>
      <c r="Q257" s="287"/>
      <c r="R257" s="287"/>
      <c r="S257" s="287"/>
      <c r="T257" s="287"/>
      <c r="U257" s="287"/>
      <c r="V257" s="287"/>
      <c r="W257" s="287"/>
      <c r="X257" s="287"/>
      <c r="Y257" s="287"/>
      <c r="Z257" s="287"/>
      <c r="AA257" s="287"/>
      <c r="AB257" s="287"/>
      <c r="AC257" s="287"/>
      <c r="AD257" s="287"/>
      <c r="AE257" s="287"/>
      <c r="AF257" s="287"/>
      <c r="AG257" s="287"/>
      <c r="AH257" s="287"/>
      <c r="AI257" s="287"/>
      <c r="AJ257" s="287"/>
      <c r="AK257" s="287"/>
      <c r="AL257" s="287"/>
      <c r="AM257" s="287"/>
      <c r="AN257" s="287"/>
      <c r="AO257" s="287"/>
      <c r="AP257" s="287"/>
      <c r="AQ257" s="287"/>
      <c r="AR257" s="287"/>
      <c r="AS257" s="287"/>
      <c r="AT257" s="287"/>
      <c r="AU257" s="287"/>
      <c r="AV257" s="287"/>
      <c r="AW257" s="287"/>
      <c r="AX257" s="287"/>
      <c r="AY257" s="287"/>
      <c r="AZ257" s="287"/>
      <c r="BA257" s="287"/>
      <c r="BB257" s="287"/>
      <c r="BC257" s="287"/>
      <c r="BD257" s="287"/>
      <c r="BE257" s="287"/>
      <c r="BF257" s="287"/>
      <c r="BG257" s="287"/>
      <c r="BH257" s="287"/>
      <c r="BI257" s="287"/>
      <c r="BJ257" s="287"/>
      <c r="BK257" s="287"/>
      <c r="BL257" s="287"/>
      <c r="BM257" s="287"/>
      <c r="BN257" s="287"/>
      <c r="BO257" s="287"/>
      <c r="BP257" s="287"/>
      <c r="BQ257" s="287"/>
      <c r="BR257" s="287"/>
      <c r="BS257" s="287"/>
      <c r="BT257" s="287"/>
      <c r="BU257" s="287"/>
      <c r="BV257" s="287"/>
      <c r="BW257" s="287"/>
      <c r="BX257" s="287"/>
      <c r="BY257" s="287"/>
      <c r="BZ257" s="287"/>
      <c r="CA257" s="287"/>
      <c r="CB257" s="287"/>
      <c r="CC257" s="287"/>
      <c r="CD257" s="287"/>
      <c r="CE257" s="287"/>
      <c r="CF257" s="287"/>
      <c r="CG257" s="287"/>
      <c r="CH257" s="287"/>
      <c r="CI257" s="287"/>
      <c r="CJ257" s="287"/>
      <c r="CK257" s="287"/>
      <c r="CL257" s="287"/>
      <c r="CM257" s="287"/>
      <c r="CN257" s="287"/>
      <c r="CO257" s="287"/>
      <c r="CP257" s="287"/>
      <c r="CQ257" s="287"/>
      <c r="CR257" s="287"/>
      <c r="CS257" s="287"/>
      <c r="CT257" s="287"/>
      <c r="CU257" s="287"/>
      <c r="CV257" s="287"/>
      <c r="CW257" s="287"/>
      <c r="CX257" s="287"/>
      <c r="CY257" s="287"/>
      <c r="CZ257" s="287"/>
      <c r="DA257" s="287"/>
      <c r="DB257" s="287"/>
      <c r="DC257" s="287"/>
      <c r="DD257" s="287"/>
      <c r="DE257" s="287"/>
      <c r="DF257" s="287"/>
      <c r="DG257" s="287"/>
      <c r="DH257" s="287"/>
      <c r="DI257" s="287"/>
      <c r="DJ257" s="287"/>
      <c r="DK257" s="287"/>
      <c r="DL257" s="287"/>
      <c r="DM257" s="287"/>
      <c r="DN257" s="287"/>
      <c r="DO257" s="287"/>
      <c r="DP257" s="287"/>
    </row>
    <row r="258" spans="1:120" s="16" customFormat="1" hidden="1" x14ac:dyDescent="0.25">
      <c r="A258" s="205"/>
      <c r="O258" s="287"/>
      <c r="P258" s="439"/>
      <c r="Q258" s="287"/>
      <c r="R258" s="287"/>
      <c r="S258" s="287"/>
      <c r="T258" s="287"/>
      <c r="U258" s="287"/>
      <c r="V258" s="287"/>
      <c r="W258" s="287"/>
      <c r="X258" s="287"/>
      <c r="Y258" s="287"/>
      <c r="Z258" s="287"/>
      <c r="AA258" s="287"/>
      <c r="AB258" s="287"/>
      <c r="AC258" s="287"/>
      <c r="AD258" s="287"/>
      <c r="AE258" s="287"/>
      <c r="AF258" s="287"/>
      <c r="AG258" s="287"/>
      <c r="AH258" s="287"/>
      <c r="AI258" s="287"/>
      <c r="AJ258" s="287"/>
      <c r="AK258" s="287"/>
      <c r="AL258" s="287"/>
      <c r="AM258" s="287"/>
      <c r="AN258" s="287"/>
      <c r="AO258" s="287"/>
      <c r="AP258" s="287"/>
      <c r="AQ258" s="287"/>
      <c r="AR258" s="287"/>
      <c r="AS258" s="287"/>
      <c r="AT258" s="287"/>
      <c r="AU258" s="287"/>
      <c r="AV258" s="287"/>
      <c r="AW258" s="287"/>
      <c r="AX258" s="287"/>
      <c r="AY258" s="287"/>
      <c r="AZ258" s="287"/>
      <c r="BA258" s="287"/>
      <c r="BB258" s="287"/>
      <c r="BC258" s="287"/>
      <c r="BD258" s="287"/>
      <c r="BE258" s="287"/>
      <c r="BF258" s="287"/>
      <c r="BG258" s="287"/>
      <c r="BH258" s="287"/>
      <c r="BI258" s="287"/>
      <c r="BJ258" s="287"/>
      <c r="BK258" s="287"/>
      <c r="BL258" s="287"/>
      <c r="BM258" s="287"/>
      <c r="BN258" s="287"/>
      <c r="BO258" s="287"/>
      <c r="BP258" s="287"/>
      <c r="BQ258" s="287"/>
      <c r="BR258" s="287"/>
      <c r="BS258" s="287"/>
      <c r="BT258" s="287"/>
      <c r="BU258" s="287"/>
      <c r="BV258" s="287"/>
      <c r="BW258" s="287"/>
      <c r="BX258" s="287"/>
      <c r="BY258" s="287"/>
      <c r="BZ258" s="287"/>
      <c r="CA258" s="287"/>
      <c r="CB258" s="287"/>
      <c r="CC258" s="287"/>
      <c r="CD258" s="287"/>
      <c r="CE258" s="287"/>
      <c r="CF258" s="287"/>
      <c r="CG258" s="287"/>
      <c r="CH258" s="287"/>
      <c r="CI258" s="287"/>
      <c r="CJ258" s="287"/>
      <c r="CK258" s="287"/>
      <c r="CL258" s="287"/>
      <c r="CM258" s="287"/>
      <c r="CN258" s="287"/>
      <c r="CO258" s="287"/>
      <c r="CP258" s="287"/>
      <c r="CQ258" s="287"/>
      <c r="CR258" s="287"/>
      <c r="CS258" s="287"/>
      <c r="CT258" s="287"/>
      <c r="CU258" s="287"/>
      <c r="CV258" s="287"/>
      <c r="CW258" s="287"/>
      <c r="CX258" s="287"/>
      <c r="CY258" s="287"/>
      <c r="CZ258" s="287"/>
      <c r="DA258" s="287"/>
      <c r="DB258" s="287"/>
      <c r="DC258" s="287"/>
      <c r="DD258" s="287"/>
      <c r="DE258" s="287"/>
      <c r="DF258" s="287"/>
      <c r="DG258" s="287"/>
      <c r="DH258" s="287"/>
      <c r="DI258" s="287"/>
      <c r="DJ258" s="287"/>
      <c r="DK258" s="287"/>
      <c r="DL258" s="287"/>
      <c r="DM258" s="287"/>
      <c r="DN258" s="287"/>
      <c r="DO258" s="287"/>
      <c r="DP258" s="287"/>
    </row>
    <row r="259" spans="1:120" s="96" customFormat="1" ht="26.25" hidden="1" customHeight="1" x14ac:dyDescent="0.25">
      <c r="A259" s="13"/>
      <c r="B259" s="9"/>
      <c r="C259" s="723" t="str">
        <f>IF(G257="Yes", "Is the program exclusively distance ed (i.e., no campus)?","")</f>
        <v/>
      </c>
      <c r="D259" s="723"/>
      <c r="E259" s="723"/>
      <c r="F259" s="614"/>
      <c r="G259" s="105"/>
      <c r="H259" s="103" t="str">
        <f>IF(AND($G$257="Yes",G259=""), " &lt;=== Select from drop down list","")</f>
        <v/>
      </c>
      <c r="O259" s="287"/>
      <c r="P259" s="439"/>
      <c r="Q259" s="287"/>
      <c r="R259" s="287"/>
      <c r="S259" s="287"/>
      <c r="T259" s="287"/>
      <c r="U259" s="287"/>
      <c r="V259" s="287"/>
      <c r="W259" s="287"/>
      <c r="X259" s="287"/>
      <c r="Y259" s="287"/>
      <c r="Z259" s="287"/>
      <c r="AA259" s="287"/>
      <c r="AB259" s="287"/>
      <c r="AC259" s="287"/>
      <c r="AD259" s="287"/>
      <c r="AE259" s="287"/>
      <c r="AF259" s="287"/>
      <c r="AG259" s="287"/>
      <c r="AH259" s="287"/>
      <c r="AI259" s="287"/>
      <c r="AJ259" s="287"/>
      <c r="AK259" s="287"/>
      <c r="AL259" s="287"/>
      <c r="AM259" s="287"/>
      <c r="AN259" s="287"/>
      <c r="AO259" s="287"/>
      <c r="AP259" s="287"/>
      <c r="AQ259" s="287"/>
      <c r="AR259" s="287"/>
      <c r="AS259" s="287"/>
      <c r="AT259" s="287"/>
      <c r="AU259" s="287"/>
      <c r="AV259" s="287"/>
      <c r="AW259" s="287"/>
      <c r="AX259" s="287"/>
      <c r="AY259" s="287"/>
      <c r="AZ259" s="287"/>
      <c r="BA259" s="287"/>
      <c r="BB259" s="287"/>
      <c r="BC259" s="287"/>
      <c r="BD259" s="287"/>
      <c r="BE259" s="287"/>
      <c r="BF259" s="287"/>
      <c r="BG259" s="287"/>
      <c r="BH259" s="287"/>
      <c r="BI259" s="287"/>
      <c r="BJ259" s="287"/>
      <c r="BK259" s="287"/>
      <c r="BL259" s="287"/>
      <c r="BM259" s="287"/>
      <c r="BN259" s="287"/>
      <c r="BO259" s="287"/>
      <c r="BP259" s="287"/>
      <c r="BQ259" s="287"/>
      <c r="BR259" s="287"/>
      <c r="BS259" s="287"/>
      <c r="BT259" s="287"/>
      <c r="BU259" s="287"/>
      <c r="BV259" s="287"/>
      <c r="BW259" s="287"/>
      <c r="BX259" s="287"/>
      <c r="BY259" s="287"/>
      <c r="BZ259" s="287"/>
      <c r="CA259" s="287"/>
      <c r="CB259" s="287"/>
      <c r="CC259" s="287"/>
      <c r="CD259" s="287"/>
      <c r="CE259" s="287"/>
      <c r="CF259" s="287"/>
      <c r="CG259" s="287"/>
      <c r="CH259" s="287"/>
      <c r="CI259" s="287"/>
      <c r="CJ259" s="287"/>
      <c r="CK259" s="287"/>
      <c r="CL259" s="287"/>
      <c r="CM259" s="287"/>
      <c r="CN259" s="287"/>
      <c r="CO259" s="287"/>
      <c r="CP259" s="287"/>
      <c r="CQ259" s="287"/>
      <c r="CR259" s="287"/>
      <c r="CS259" s="287"/>
      <c r="CT259" s="287"/>
      <c r="CU259" s="287"/>
      <c r="CV259" s="287"/>
      <c r="CW259" s="287"/>
      <c r="CX259" s="287"/>
      <c r="CY259" s="287"/>
      <c r="CZ259" s="287"/>
      <c r="DA259" s="287"/>
      <c r="DB259" s="287"/>
      <c r="DC259" s="287"/>
      <c r="DD259" s="287"/>
      <c r="DE259" s="287"/>
      <c r="DF259" s="287"/>
      <c r="DG259" s="287"/>
      <c r="DH259" s="287"/>
      <c r="DI259" s="287"/>
      <c r="DJ259" s="287"/>
      <c r="DK259" s="287"/>
      <c r="DL259" s="287"/>
      <c r="DM259" s="287"/>
      <c r="DN259" s="287"/>
      <c r="DO259" s="287"/>
      <c r="DP259" s="287"/>
    </row>
    <row r="260" spans="1:120" s="96" customFormat="1" hidden="1" x14ac:dyDescent="0.25">
      <c r="A260" s="13"/>
      <c r="O260" s="287"/>
      <c r="P260" s="439"/>
      <c r="Q260" s="287"/>
      <c r="R260" s="287"/>
      <c r="S260" s="287"/>
      <c r="T260" s="287"/>
      <c r="U260" s="287"/>
      <c r="V260" s="287"/>
      <c r="W260" s="287"/>
      <c r="X260" s="287"/>
      <c r="Y260" s="287"/>
      <c r="Z260" s="287"/>
      <c r="AA260" s="287"/>
      <c r="AB260" s="287"/>
      <c r="AC260" s="287"/>
      <c r="AD260" s="287"/>
      <c r="AE260" s="287"/>
      <c r="AF260" s="287"/>
      <c r="AG260" s="287"/>
      <c r="AH260" s="287"/>
      <c r="AI260" s="287"/>
      <c r="AJ260" s="287"/>
      <c r="AK260" s="287"/>
      <c r="AL260" s="287"/>
      <c r="AM260" s="287"/>
      <c r="AN260" s="287"/>
      <c r="AO260" s="287"/>
      <c r="AP260" s="287"/>
      <c r="AQ260" s="287"/>
      <c r="AR260" s="287"/>
      <c r="AS260" s="287"/>
      <c r="AT260" s="287"/>
      <c r="AU260" s="287"/>
      <c r="AV260" s="287"/>
      <c r="AW260" s="287"/>
      <c r="AX260" s="287"/>
      <c r="AY260" s="287"/>
      <c r="AZ260" s="287"/>
      <c r="BA260" s="287"/>
      <c r="BB260" s="287"/>
      <c r="BC260" s="287"/>
      <c r="BD260" s="287"/>
      <c r="BE260" s="287"/>
      <c r="BF260" s="287"/>
      <c r="BG260" s="287"/>
      <c r="BH260" s="287"/>
      <c r="BI260" s="287"/>
      <c r="BJ260" s="287"/>
      <c r="BK260" s="287"/>
      <c r="BL260" s="287"/>
      <c r="BM260" s="287"/>
      <c r="BN260" s="287"/>
      <c r="BO260" s="287"/>
      <c r="BP260" s="287"/>
      <c r="BQ260" s="287"/>
      <c r="BR260" s="287"/>
      <c r="BS260" s="287"/>
      <c r="BT260" s="287"/>
      <c r="BU260" s="287"/>
      <c r="BV260" s="287"/>
      <c r="BW260" s="287"/>
      <c r="BX260" s="287"/>
      <c r="BY260" s="287"/>
      <c r="BZ260" s="287"/>
      <c r="CA260" s="287"/>
      <c r="CB260" s="287"/>
      <c r="CC260" s="287"/>
      <c r="CD260" s="287"/>
      <c r="CE260" s="287"/>
      <c r="CF260" s="287"/>
      <c r="CG260" s="287"/>
      <c r="CH260" s="287"/>
      <c r="CI260" s="287"/>
      <c r="CJ260" s="287"/>
      <c r="CK260" s="287"/>
      <c r="CL260" s="287"/>
      <c r="CM260" s="287"/>
      <c r="CN260" s="287"/>
      <c r="CO260" s="287"/>
      <c r="CP260" s="287"/>
      <c r="CQ260" s="287"/>
      <c r="CR260" s="287"/>
      <c r="CS260" s="287"/>
      <c r="CT260" s="287"/>
      <c r="CU260" s="287"/>
      <c r="CV260" s="287"/>
      <c r="CW260" s="287"/>
      <c r="CX260" s="287"/>
      <c r="CY260" s="287"/>
      <c r="CZ260" s="287"/>
      <c r="DA260" s="287"/>
      <c r="DB260" s="287"/>
      <c r="DC260" s="287"/>
      <c r="DD260" s="287"/>
      <c r="DE260" s="287"/>
      <c r="DF260" s="287"/>
      <c r="DG260" s="287"/>
      <c r="DH260" s="287"/>
      <c r="DI260" s="287"/>
      <c r="DJ260" s="287"/>
      <c r="DK260" s="287"/>
      <c r="DL260" s="287"/>
      <c r="DM260" s="287"/>
      <c r="DN260" s="287"/>
      <c r="DO260" s="287"/>
      <c r="DP260" s="287"/>
    </row>
    <row r="261" spans="1:120" s="101" customFormat="1" ht="26.25" hidden="1" customHeight="1" x14ac:dyDescent="0.25">
      <c r="A261" s="13"/>
      <c r="B261" s="9"/>
      <c r="C261" s="723" t="str">
        <f>IF(G257="Yes", "Are there DE students out-of-state?","")</f>
        <v/>
      </c>
      <c r="D261" s="723"/>
      <c r="E261" s="723"/>
      <c r="F261" s="614"/>
      <c r="G261" s="105"/>
      <c r="H261" s="103" t="str">
        <f>IF(AND($G$257="Yes",G261=""), " &lt;=== Select from drop down list","")</f>
        <v/>
      </c>
      <c r="O261" s="287"/>
      <c r="P261" s="439"/>
      <c r="Q261" s="287"/>
      <c r="R261" s="287"/>
      <c r="S261" s="287"/>
      <c r="T261" s="287"/>
      <c r="U261" s="287"/>
      <c r="V261" s="287"/>
      <c r="W261" s="287"/>
      <c r="X261" s="287"/>
      <c r="Y261" s="287"/>
      <c r="Z261" s="287"/>
      <c r="AA261" s="287"/>
      <c r="AB261" s="287"/>
      <c r="AC261" s="287"/>
      <c r="AD261" s="287"/>
      <c r="AE261" s="287"/>
      <c r="AF261" s="287"/>
      <c r="AG261" s="287"/>
      <c r="AH261" s="287"/>
      <c r="AI261" s="287"/>
      <c r="AJ261" s="287"/>
      <c r="AK261" s="287"/>
      <c r="AL261" s="287"/>
      <c r="AM261" s="287"/>
      <c r="AN261" s="287"/>
      <c r="AO261" s="287"/>
      <c r="AP261" s="287"/>
      <c r="AQ261" s="287"/>
      <c r="AR261" s="287"/>
      <c r="AS261" s="287"/>
      <c r="AT261" s="287"/>
      <c r="AU261" s="287"/>
      <c r="AV261" s="287"/>
      <c r="AW261" s="287"/>
      <c r="AX261" s="287"/>
      <c r="AY261" s="287"/>
      <c r="AZ261" s="287"/>
      <c r="BA261" s="287"/>
      <c r="BB261" s="287"/>
      <c r="BC261" s="287"/>
      <c r="BD261" s="287"/>
      <c r="BE261" s="287"/>
      <c r="BF261" s="287"/>
      <c r="BG261" s="287"/>
      <c r="BH261" s="287"/>
      <c r="BI261" s="287"/>
      <c r="BJ261" s="287"/>
      <c r="BK261" s="287"/>
      <c r="BL261" s="287"/>
      <c r="BM261" s="287"/>
      <c r="BN261" s="287"/>
      <c r="BO261" s="287"/>
      <c r="BP261" s="287"/>
      <c r="BQ261" s="287"/>
      <c r="BR261" s="287"/>
      <c r="BS261" s="287"/>
      <c r="BT261" s="287"/>
      <c r="BU261" s="287"/>
      <c r="BV261" s="287"/>
      <c r="BW261" s="287"/>
      <c r="BX261" s="287"/>
      <c r="BY261" s="287"/>
      <c r="BZ261" s="287"/>
      <c r="CA261" s="287"/>
      <c r="CB261" s="287"/>
      <c r="CC261" s="287"/>
      <c r="CD261" s="287"/>
      <c r="CE261" s="287"/>
      <c r="CF261" s="287"/>
      <c r="CG261" s="287"/>
      <c r="CH261" s="287"/>
      <c r="CI261" s="287"/>
      <c r="CJ261" s="287"/>
      <c r="CK261" s="287"/>
      <c r="CL261" s="287"/>
      <c r="CM261" s="287"/>
      <c r="CN261" s="287"/>
      <c r="CO261" s="287"/>
      <c r="CP261" s="287"/>
      <c r="CQ261" s="287"/>
      <c r="CR261" s="287"/>
      <c r="CS261" s="287"/>
      <c r="CT261" s="287"/>
      <c r="CU261" s="287"/>
      <c r="CV261" s="287"/>
      <c r="CW261" s="287"/>
      <c r="CX261" s="287"/>
      <c r="CY261" s="287"/>
      <c r="CZ261" s="287"/>
      <c r="DA261" s="287"/>
      <c r="DB261" s="287"/>
      <c r="DC261" s="287"/>
      <c r="DD261" s="287"/>
      <c r="DE261" s="287"/>
      <c r="DF261" s="287"/>
      <c r="DG261" s="287"/>
      <c r="DH261" s="287"/>
      <c r="DI261" s="287"/>
      <c r="DJ261" s="287"/>
      <c r="DK261" s="287"/>
      <c r="DL261" s="287"/>
      <c r="DM261" s="287"/>
      <c r="DN261" s="287"/>
      <c r="DO261" s="287"/>
      <c r="DP261" s="287"/>
    </row>
    <row r="262" spans="1:120" s="16" customFormat="1" hidden="1" x14ac:dyDescent="0.25">
      <c r="A262" s="13"/>
      <c r="O262" s="287"/>
      <c r="P262" s="439"/>
      <c r="Q262" s="287"/>
      <c r="R262" s="287"/>
      <c r="S262" s="287"/>
      <c r="T262" s="287"/>
      <c r="U262" s="287"/>
      <c r="V262" s="287"/>
      <c r="W262" s="287"/>
      <c r="X262" s="287"/>
      <c r="Y262" s="287"/>
      <c r="Z262" s="287"/>
      <c r="AA262" s="287"/>
      <c r="AB262" s="287"/>
      <c r="AC262" s="287"/>
      <c r="AD262" s="287"/>
      <c r="AE262" s="287"/>
      <c r="AF262" s="287"/>
      <c r="AG262" s="287"/>
      <c r="AH262" s="287"/>
      <c r="AI262" s="287"/>
      <c r="AJ262" s="287"/>
      <c r="AK262" s="287"/>
      <c r="AL262" s="287"/>
      <c r="AM262" s="287"/>
      <c r="AN262" s="287"/>
      <c r="AO262" s="287"/>
      <c r="AP262" s="287"/>
      <c r="AQ262" s="287"/>
      <c r="AR262" s="287"/>
      <c r="AS262" s="287"/>
      <c r="AT262" s="287"/>
      <c r="AU262" s="287"/>
      <c r="AV262" s="287"/>
      <c r="AW262" s="287"/>
      <c r="AX262" s="287"/>
      <c r="AY262" s="287"/>
      <c r="AZ262" s="287"/>
      <c r="BA262" s="287"/>
      <c r="BB262" s="287"/>
      <c r="BC262" s="287"/>
      <c r="BD262" s="287"/>
      <c r="BE262" s="287"/>
      <c r="BF262" s="287"/>
      <c r="BG262" s="287"/>
      <c r="BH262" s="287"/>
      <c r="BI262" s="287"/>
      <c r="BJ262" s="287"/>
      <c r="BK262" s="287"/>
      <c r="BL262" s="287"/>
      <c r="BM262" s="287"/>
      <c r="BN262" s="287"/>
      <c r="BO262" s="287"/>
      <c r="BP262" s="287"/>
      <c r="BQ262" s="287"/>
      <c r="BR262" s="287"/>
      <c r="BS262" s="287"/>
      <c r="BT262" s="287"/>
      <c r="BU262" s="287"/>
      <c r="BV262" s="287"/>
      <c r="BW262" s="287"/>
      <c r="BX262" s="287"/>
      <c r="BY262" s="287"/>
      <c r="BZ262" s="287"/>
      <c r="CA262" s="287"/>
      <c r="CB262" s="287"/>
      <c r="CC262" s="287"/>
      <c r="CD262" s="287"/>
      <c r="CE262" s="287"/>
      <c r="CF262" s="287"/>
      <c r="CG262" s="287"/>
      <c r="CH262" s="287"/>
      <c r="CI262" s="287"/>
      <c r="CJ262" s="287"/>
      <c r="CK262" s="287"/>
      <c r="CL262" s="287"/>
      <c r="CM262" s="287"/>
      <c r="CN262" s="287"/>
      <c r="CO262" s="287"/>
      <c r="CP262" s="287"/>
      <c r="CQ262" s="287"/>
      <c r="CR262" s="287"/>
      <c r="CS262" s="287"/>
      <c r="CT262" s="287"/>
      <c r="CU262" s="287"/>
      <c r="CV262" s="287"/>
      <c r="CW262" s="287"/>
      <c r="CX262" s="287"/>
      <c r="CY262" s="287"/>
      <c r="CZ262" s="287"/>
      <c r="DA262" s="287"/>
      <c r="DB262" s="287"/>
      <c r="DC262" s="287"/>
      <c r="DD262" s="287"/>
      <c r="DE262" s="287"/>
      <c r="DF262" s="287"/>
      <c r="DG262" s="287"/>
      <c r="DH262" s="287"/>
      <c r="DI262" s="287"/>
      <c r="DJ262" s="287"/>
      <c r="DK262" s="287"/>
      <c r="DL262" s="287"/>
      <c r="DM262" s="287"/>
      <c r="DN262" s="287"/>
      <c r="DO262" s="287"/>
      <c r="DP262" s="287"/>
    </row>
    <row r="263" spans="1:120" s="96" customFormat="1" ht="26.25" hidden="1" customHeight="1" x14ac:dyDescent="0.25">
      <c r="A263" s="13"/>
      <c r="B263" s="9"/>
      <c r="C263" s="723" t="str">
        <f>IF(G257="Yes", "Percentage (approximate) of the program delivered by distance:","")</f>
        <v/>
      </c>
      <c r="D263" s="723"/>
      <c r="E263" s="723"/>
      <c r="F263" s="614"/>
      <c r="G263" s="106"/>
      <c r="H263" s="104" t="str">
        <f>IF(AND($G$257="Yes",G263=""), " &lt;=== Select from drop down list","")</f>
        <v/>
      </c>
      <c r="O263" s="287"/>
      <c r="P263" s="439"/>
      <c r="Q263" s="287"/>
      <c r="R263" s="287"/>
      <c r="S263" s="287"/>
      <c r="T263" s="287"/>
      <c r="U263" s="287"/>
      <c r="V263" s="287"/>
      <c r="W263" s="287"/>
      <c r="X263" s="287"/>
      <c r="Y263" s="287"/>
      <c r="Z263" s="287"/>
      <c r="AA263" s="287"/>
      <c r="AB263" s="287"/>
      <c r="AC263" s="287"/>
      <c r="AD263" s="287"/>
      <c r="AE263" s="287"/>
      <c r="AF263" s="287"/>
      <c r="AG263" s="287"/>
      <c r="AH263" s="287"/>
      <c r="AI263" s="287"/>
      <c r="AJ263" s="287"/>
      <c r="AK263" s="287"/>
      <c r="AL263" s="287"/>
      <c r="AM263" s="287"/>
      <c r="AN263" s="287"/>
      <c r="AO263" s="287"/>
      <c r="AP263" s="287"/>
      <c r="AQ263" s="287"/>
      <c r="AR263" s="287"/>
      <c r="AS263" s="287"/>
      <c r="AT263" s="287"/>
      <c r="AU263" s="287"/>
      <c r="AV263" s="287"/>
      <c r="AW263" s="287"/>
      <c r="AX263" s="287"/>
      <c r="AY263" s="287"/>
      <c r="AZ263" s="287"/>
      <c r="BA263" s="287"/>
      <c r="BB263" s="287"/>
      <c r="BC263" s="287"/>
      <c r="BD263" s="287"/>
      <c r="BE263" s="287"/>
      <c r="BF263" s="287"/>
      <c r="BG263" s="287"/>
      <c r="BH263" s="287"/>
      <c r="BI263" s="287"/>
      <c r="BJ263" s="287"/>
      <c r="BK263" s="287"/>
      <c r="BL263" s="287"/>
      <c r="BM263" s="287"/>
      <c r="BN263" s="287"/>
      <c r="BO263" s="287"/>
      <c r="BP263" s="287"/>
      <c r="BQ263" s="287"/>
      <c r="BR263" s="287"/>
      <c r="BS263" s="287"/>
      <c r="BT263" s="287"/>
      <c r="BU263" s="287"/>
      <c r="BV263" s="287"/>
      <c r="BW263" s="287"/>
      <c r="BX263" s="287"/>
      <c r="BY263" s="287"/>
      <c r="BZ263" s="287"/>
      <c r="CA263" s="287"/>
      <c r="CB263" s="287"/>
      <c r="CC263" s="287"/>
      <c r="CD263" s="287"/>
      <c r="CE263" s="287"/>
      <c r="CF263" s="287"/>
      <c r="CG263" s="287"/>
      <c r="CH263" s="287"/>
      <c r="CI263" s="287"/>
      <c r="CJ263" s="287"/>
      <c r="CK263" s="287"/>
      <c r="CL263" s="287"/>
      <c r="CM263" s="287"/>
      <c r="CN263" s="287"/>
      <c r="CO263" s="287"/>
      <c r="CP263" s="287"/>
      <c r="CQ263" s="287"/>
      <c r="CR263" s="287"/>
      <c r="CS263" s="287"/>
      <c r="CT263" s="287"/>
      <c r="CU263" s="287"/>
      <c r="CV263" s="287"/>
      <c r="CW263" s="287"/>
      <c r="CX263" s="287"/>
      <c r="CY263" s="287"/>
      <c r="CZ263" s="287"/>
      <c r="DA263" s="287"/>
      <c r="DB263" s="287"/>
      <c r="DC263" s="287"/>
      <c r="DD263" s="287"/>
      <c r="DE263" s="287"/>
      <c r="DF263" s="287"/>
      <c r="DG263" s="287"/>
      <c r="DH263" s="287"/>
      <c r="DI263" s="287"/>
      <c r="DJ263" s="287"/>
      <c r="DK263" s="287"/>
      <c r="DL263" s="287"/>
      <c r="DM263" s="287"/>
      <c r="DN263" s="287"/>
      <c r="DO263" s="287"/>
      <c r="DP263" s="287"/>
    </row>
    <row r="264" spans="1:120" s="16" customFormat="1" hidden="1" x14ac:dyDescent="0.25">
      <c r="A264" s="13"/>
      <c r="O264" s="287"/>
      <c r="P264" s="439"/>
      <c r="Q264" s="287"/>
      <c r="R264" s="287"/>
      <c r="S264" s="287"/>
      <c r="T264" s="287"/>
      <c r="U264" s="287"/>
      <c r="V264" s="287"/>
      <c r="W264" s="287"/>
      <c r="X264" s="287"/>
      <c r="Y264" s="287"/>
      <c r="Z264" s="287"/>
      <c r="AA264" s="287"/>
      <c r="AB264" s="287"/>
      <c r="AC264" s="287"/>
      <c r="AD264" s="287"/>
      <c r="AE264" s="287"/>
      <c r="AF264" s="287"/>
      <c r="AG264" s="287"/>
      <c r="AH264" s="287"/>
      <c r="AI264" s="287"/>
      <c r="AJ264" s="287"/>
      <c r="AK264" s="287"/>
      <c r="AL264" s="287"/>
      <c r="AM264" s="287"/>
      <c r="AN264" s="287"/>
      <c r="AO264" s="287"/>
      <c r="AP264" s="287"/>
      <c r="AQ264" s="287"/>
      <c r="AR264" s="287"/>
      <c r="AS264" s="287"/>
      <c r="AT264" s="287"/>
      <c r="AU264" s="287"/>
      <c r="AV264" s="287"/>
      <c r="AW264" s="287"/>
      <c r="AX264" s="287"/>
      <c r="AY264" s="287"/>
      <c r="AZ264" s="287"/>
      <c r="BA264" s="287"/>
      <c r="BB264" s="287"/>
      <c r="BC264" s="287"/>
      <c r="BD264" s="287"/>
      <c r="BE264" s="287"/>
      <c r="BF264" s="287"/>
      <c r="BG264" s="287"/>
      <c r="BH264" s="287"/>
      <c r="BI264" s="287"/>
      <c r="BJ264" s="287"/>
      <c r="BK264" s="287"/>
      <c r="BL264" s="287"/>
      <c r="BM264" s="287"/>
      <c r="BN264" s="287"/>
      <c r="BO264" s="287"/>
      <c r="BP264" s="287"/>
      <c r="BQ264" s="287"/>
      <c r="BR264" s="287"/>
      <c r="BS264" s="287"/>
      <c r="BT264" s="287"/>
      <c r="BU264" s="287"/>
      <c r="BV264" s="287"/>
      <c r="BW264" s="287"/>
      <c r="BX264" s="287"/>
      <c r="BY264" s="287"/>
      <c r="BZ264" s="287"/>
      <c r="CA264" s="287"/>
      <c r="CB264" s="287"/>
      <c r="CC264" s="287"/>
      <c r="CD264" s="287"/>
      <c r="CE264" s="287"/>
      <c r="CF264" s="287"/>
      <c r="CG264" s="287"/>
      <c r="CH264" s="287"/>
      <c r="CI264" s="287"/>
      <c r="CJ264" s="287"/>
      <c r="CK264" s="287"/>
      <c r="CL264" s="287"/>
      <c r="CM264" s="287"/>
      <c r="CN264" s="287"/>
      <c r="CO264" s="287"/>
      <c r="CP264" s="287"/>
      <c r="CQ264" s="287"/>
      <c r="CR264" s="287"/>
      <c r="CS264" s="287"/>
      <c r="CT264" s="287"/>
      <c r="CU264" s="287"/>
      <c r="CV264" s="287"/>
      <c r="CW264" s="287"/>
      <c r="CX264" s="287"/>
      <c r="CY264" s="287"/>
      <c r="CZ264" s="287"/>
      <c r="DA264" s="287"/>
      <c r="DB264" s="287"/>
      <c r="DC264" s="287"/>
      <c r="DD264" s="287"/>
      <c r="DE264" s="287"/>
      <c r="DF264" s="287"/>
      <c r="DG264" s="287"/>
      <c r="DH264" s="287"/>
      <c r="DI264" s="287"/>
      <c r="DJ264" s="287"/>
      <c r="DK264" s="287"/>
      <c r="DL264" s="287"/>
      <c r="DM264" s="287"/>
      <c r="DN264" s="287"/>
      <c r="DO264" s="287"/>
      <c r="DP264" s="287"/>
    </row>
    <row r="265" spans="1:120" s="96" customFormat="1" ht="26.25" hidden="1" customHeight="1" x14ac:dyDescent="0.25">
      <c r="A265" s="13"/>
      <c r="B265" s="9"/>
      <c r="C265" s="614" t="str">
        <f>IF(G257="Yes", "List of courses that are totally web based (i.e., no face-to-face instruction)","")</f>
        <v/>
      </c>
      <c r="D265" s="614"/>
      <c r="E265" s="614"/>
      <c r="F265" s="614"/>
      <c r="G265" s="614"/>
      <c r="H265" s="614"/>
      <c r="I265" s="614"/>
      <c r="O265" s="287"/>
      <c r="P265" s="439"/>
      <c r="Q265" s="287"/>
      <c r="R265" s="287"/>
      <c r="S265" s="287"/>
      <c r="T265" s="287"/>
      <c r="U265" s="287"/>
      <c r="V265" s="287"/>
      <c r="W265" s="287"/>
      <c r="X265" s="287"/>
      <c r="Y265" s="287"/>
      <c r="Z265" s="287"/>
      <c r="AA265" s="287"/>
      <c r="AB265" s="287"/>
      <c r="AC265" s="287"/>
      <c r="AD265" s="287"/>
      <c r="AE265" s="287"/>
      <c r="AF265" s="287"/>
      <c r="AG265" s="287"/>
      <c r="AH265" s="287"/>
      <c r="AI265" s="287"/>
      <c r="AJ265" s="287"/>
      <c r="AK265" s="287"/>
      <c r="AL265" s="287"/>
      <c r="AM265" s="287"/>
      <c r="AN265" s="287"/>
      <c r="AO265" s="287"/>
      <c r="AP265" s="287"/>
      <c r="AQ265" s="287"/>
      <c r="AR265" s="287"/>
      <c r="AS265" s="287"/>
      <c r="AT265" s="287"/>
      <c r="AU265" s="287"/>
      <c r="AV265" s="287"/>
      <c r="AW265" s="287"/>
      <c r="AX265" s="287"/>
      <c r="AY265" s="287"/>
      <c r="AZ265" s="287"/>
      <c r="BA265" s="287"/>
      <c r="BB265" s="287"/>
      <c r="BC265" s="287"/>
      <c r="BD265" s="287"/>
      <c r="BE265" s="287"/>
      <c r="BF265" s="287"/>
      <c r="BG265" s="287"/>
      <c r="BH265" s="287"/>
      <c r="BI265" s="287"/>
      <c r="BJ265" s="287"/>
      <c r="BK265" s="287"/>
      <c r="BL265" s="287"/>
      <c r="BM265" s="287"/>
      <c r="BN265" s="287"/>
      <c r="BO265" s="287"/>
      <c r="BP265" s="287"/>
      <c r="BQ265" s="287"/>
      <c r="BR265" s="287"/>
      <c r="BS265" s="287"/>
      <c r="BT265" s="287"/>
      <c r="BU265" s="287"/>
      <c r="BV265" s="287"/>
      <c r="BW265" s="287"/>
      <c r="BX265" s="287"/>
      <c r="BY265" s="287"/>
      <c r="BZ265" s="287"/>
      <c r="CA265" s="287"/>
      <c r="CB265" s="287"/>
      <c r="CC265" s="287"/>
      <c r="CD265" s="287"/>
      <c r="CE265" s="287"/>
      <c r="CF265" s="287"/>
      <c r="CG265" s="287"/>
      <c r="CH265" s="287"/>
      <c r="CI265" s="287"/>
      <c r="CJ265" s="287"/>
      <c r="CK265" s="287"/>
      <c r="CL265" s="287"/>
      <c r="CM265" s="287"/>
      <c r="CN265" s="287"/>
      <c r="CO265" s="287"/>
      <c r="CP265" s="287"/>
      <c r="CQ265" s="287"/>
      <c r="CR265" s="287"/>
      <c r="CS265" s="287"/>
      <c r="CT265" s="287"/>
      <c r="CU265" s="287"/>
      <c r="CV265" s="287"/>
      <c r="CW265" s="287"/>
      <c r="CX265" s="287"/>
      <c r="CY265" s="287"/>
      <c r="CZ265" s="287"/>
      <c r="DA265" s="287"/>
      <c r="DB265" s="287"/>
      <c r="DC265" s="287"/>
      <c r="DD265" s="287"/>
      <c r="DE265" s="287"/>
      <c r="DF265" s="287"/>
      <c r="DG265" s="287"/>
      <c r="DH265" s="287"/>
      <c r="DI265" s="287"/>
      <c r="DJ265" s="287"/>
      <c r="DK265" s="287"/>
      <c r="DL265" s="287"/>
      <c r="DM265" s="287"/>
      <c r="DN265" s="287"/>
      <c r="DO265" s="287"/>
      <c r="DP265" s="287"/>
    </row>
    <row r="266" spans="1:120" s="98" customFormat="1" ht="6.75" hidden="1" customHeight="1" x14ac:dyDescent="0.25">
      <c r="A266" s="13"/>
      <c r="O266" s="287"/>
      <c r="P266" s="439"/>
      <c r="Q266" s="287"/>
      <c r="R266" s="287"/>
      <c r="S266" s="287"/>
      <c r="T266" s="287"/>
      <c r="U266" s="287"/>
      <c r="V266" s="287"/>
      <c r="W266" s="287"/>
      <c r="X266" s="287"/>
      <c r="Y266" s="287"/>
      <c r="Z266" s="287"/>
      <c r="AA266" s="287"/>
      <c r="AB266" s="287"/>
      <c r="AC266" s="287"/>
      <c r="AD266" s="287"/>
      <c r="AE266" s="287"/>
      <c r="AF266" s="287"/>
      <c r="AG266" s="287"/>
      <c r="AH266" s="287"/>
      <c r="AI266" s="287"/>
      <c r="AJ266" s="287"/>
      <c r="AK266" s="287"/>
      <c r="AL266" s="287"/>
      <c r="AM266" s="287"/>
      <c r="AN266" s="287"/>
      <c r="AO266" s="287"/>
      <c r="AP266" s="287"/>
      <c r="AQ266" s="287"/>
      <c r="AR266" s="287"/>
      <c r="AS266" s="287"/>
      <c r="AT266" s="287"/>
      <c r="AU266" s="287"/>
      <c r="AV266" s="287"/>
      <c r="AW266" s="287"/>
      <c r="AX266" s="287"/>
      <c r="AY266" s="287"/>
      <c r="AZ266" s="287"/>
      <c r="BA266" s="287"/>
      <c r="BB266" s="287"/>
      <c r="BC266" s="287"/>
      <c r="BD266" s="287"/>
      <c r="BE266" s="287"/>
      <c r="BF266" s="287"/>
      <c r="BG266" s="287"/>
      <c r="BH266" s="287"/>
      <c r="BI266" s="287"/>
      <c r="BJ266" s="287"/>
      <c r="BK266" s="287"/>
      <c r="BL266" s="287"/>
      <c r="BM266" s="287"/>
      <c r="BN266" s="287"/>
      <c r="BO266" s="287"/>
      <c r="BP266" s="287"/>
      <c r="BQ266" s="287"/>
      <c r="BR266" s="287"/>
      <c r="BS266" s="287"/>
      <c r="BT266" s="287"/>
      <c r="BU266" s="287"/>
      <c r="BV266" s="287"/>
      <c r="BW266" s="287"/>
      <c r="BX266" s="287"/>
      <c r="BY266" s="287"/>
      <c r="BZ266" s="287"/>
      <c r="CA266" s="287"/>
      <c r="CB266" s="287"/>
      <c r="CC266" s="287"/>
      <c r="CD266" s="287"/>
      <c r="CE266" s="287"/>
      <c r="CF266" s="287"/>
      <c r="CG266" s="287"/>
      <c r="CH266" s="287"/>
      <c r="CI266" s="287"/>
      <c r="CJ266" s="287"/>
      <c r="CK266" s="287"/>
      <c r="CL266" s="287"/>
      <c r="CM266" s="287"/>
      <c r="CN266" s="287"/>
      <c r="CO266" s="287"/>
      <c r="CP266" s="287"/>
      <c r="CQ266" s="287"/>
      <c r="CR266" s="287"/>
      <c r="CS266" s="287"/>
      <c r="CT266" s="287"/>
      <c r="CU266" s="287"/>
      <c r="CV266" s="287"/>
      <c r="CW266" s="287"/>
      <c r="CX266" s="287"/>
      <c r="CY266" s="287"/>
      <c r="CZ266" s="287"/>
      <c r="DA266" s="287"/>
      <c r="DB266" s="287"/>
      <c r="DC266" s="287"/>
      <c r="DD266" s="287"/>
      <c r="DE266" s="287"/>
      <c r="DF266" s="287"/>
      <c r="DG266" s="287"/>
      <c r="DH266" s="287"/>
      <c r="DI266" s="287"/>
      <c r="DJ266" s="287"/>
      <c r="DK266" s="287"/>
      <c r="DL266" s="287"/>
      <c r="DM266" s="287"/>
      <c r="DN266" s="287"/>
      <c r="DO266" s="287"/>
      <c r="DP266" s="287"/>
    </row>
    <row r="267" spans="1:120" s="96" customFormat="1" hidden="1" x14ac:dyDescent="0.25">
      <c r="A267" s="13"/>
      <c r="C267" s="107" t="str">
        <f>IF(G257="Yes","Course Number","")</f>
        <v/>
      </c>
      <c r="D267" s="629" t="str">
        <f>IF(G257="Yes","Course Title","")</f>
        <v/>
      </c>
      <c r="E267" s="629"/>
      <c r="F267" s="629"/>
      <c r="G267" s="107" t="str">
        <f>IF(G257="Yes","# of credits","")</f>
        <v/>
      </c>
      <c r="H267" s="107" t="str">
        <f>IF(G257="Yes","# lecture hours","")</f>
        <v/>
      </c>
      <c r="I267" s="107" t="str">
        <f>IF(G257="Yes","Core Course?","")</f>
        <v/>
      </c>
      <c r="O267" s="287"/>
      <c r="P267" s="439"/>
      <c r="Q267" s="287"/>
      <c r="R267" s="287"/>
      <c r="S267" s="287"/>
      <c r="T267" s="287"/>
      <c r="U267" s="287"/>
      <c r="V267" s="287"/>
      <c r="W267" s="287"/>
      <c r="X267" s="287"/>
      <c r="Y267" s="287"/>
      <c r="Z267" s="287"/>
      <c r="AA267" s="287"/>
      <c r="AB267" s="287"/>
      <c r="AC267" s="287"/>
      <c r="AD267" s="287"/>
      <c r="AE267" s="287"/>
      <c r="AF267" s="287"/>
      <c r="AG267" s="287"/>
      <c r="AH267" s="287"/>
      <c r="AI267" s="287"/>
      <c r="AJ267" s="287"/>
      <c r="AK267" s="287"/>
      <c r="AL267" s="287"/>
      <c r="AM267" s="287"/>
      <c r="AN267" s="287"/>
      <c r="AO267" s="287"/>
      <c r="AP267" s="287"/>
      <c r="AQ267" s="287"/>
      <c r="AR267" s="287"/>
      <c r="AS267" s="287"/>
      <c r="AT267" s="287"/>
      <c r="AU267" s="287"/>
      <c r="AV267" s="287"/>
      <c r="AW267" s="287"/>
      <c r="AX267" s="287"/>
      <c r="AY267" s="287"/>
      <c r="AZ267" s="287"/>
      <c r="BA267" s="287"/>
      <c r="BB267" s="287"/>
      <c r="BC267" s="287"/>
      <c r="BD267" s="287"/>
      <c r="BE267" s="287"/>
      <c r="BF267" s="287"/>
      <c r="BG267" s="287"/>
      <c r="BH267" s="287"/>
      <c r="BI267" s="287"/>
      <c r="BJ267" s="287"/>
      <c r="BK267" s="287"/>
      <c r="BL267" s="287"/>
      <c r="BM267" s="287"/>
      <c r="BN267" s="287"/>
      <c r="BO267" s="287"/>
      <c r="BP267" s="287"/>
      <c r="BQ267" s="287"/>
      <c r="BR267" s="287"/>
      <c r="BS267" s="287"/>
      <c r="BT267" s="287"/>
      <c r="BU267" s="287"/>
      <c r="BV267" s="287"/>
      <c r="BW267" s="287"/>
      <c r="BX267" s="287"/>
      <c r="BY267" s="287"/>
      <c r="BZ267" s="287"/>
      <c r="CA267" s="287"/>
      <c r="CB267" s="287"/>
      <c r="CC267" s="287"/>
      <c r="CD267" s="287"/>
      <c r="CE267" s="287"/>
      <c r="CF267" s="287"/>
      <c r="CG267" s="287"/>
      <c r="CH267" s="287"/>
      <c r="CI267" s="287"/>
      <c r="CJ267" s="287"/>
      <c r="CK267" s="287"/>
      <c r="CL267" s="287"/>
      <c r="CM267" s="287"/>
      <c r="CN267" s="287"/>
      <c r="CO267" s="287"/>
      <c r="CP267" s="287"/>
      <c r="CQ267" s="287"/>
      <c r="CR267" s="287"/>
      <c r="CS267" s="287"/>
      <c r="CT267" s="287"/>
      <c r="CU267" s="287"/>
      <c r="CV267" s="287"/>
      <c r="CW267" s="287"/>
      <c r="CX267" s="287"/>
      <c r="CY267" s="287"/>
      <c r="CZ267" s="287"/>
      <c r="DA267" s="287"/>
      <c r="DB267" s="287"/>
      <c r="DC267" s="287"/>
      <c r="DD267" s="287"/>
      <c r="DE267" s="287"/>
      <c r="DF267" s="287"/>
      <c r="DG267" s="287"/>
      <c r="DH267" s="287"/>
      <c r="DI267" s="287"/>
      <c r="DJ267" s="287"/>
      <c r="DK267" s="287"/>
      <c r="DL267" s="287"/>
      <c r="DM267" s="287"/>
      <c r="DN267" s="287"/>
      <c r="DO267" s="287"/>
      <c r="DP267" s="287"/>
    </row>
    <row r="268" spans="1:120" s="96" customFormat="1" hidden="1" x14ac:dyDescent="0.25">
      <c r="A268" s="13"/>
      <c r="C268" s="110"/>
      <c r="D268" s="610"/>
      <c r="E268" s="610"/>
      <c r="F268" s="610"/>
      <c r="G268" s="109"/>
      <c r="H268" s="108"/>
      <c r="I268" s="105"/>
      <c r="O268" s="287"/>
      <c r="P268" s="439"/>
      <c r="Q268" s="287"/>
      <c r="R268" s="287"/>
      <c r="S268" s="287"/>
      <c r="T268" s="287"/>
      <c r="U268" s="287"/>
      <c r="V268" s="287"/>
      <c r="W268" s="287"/>
      <c r="X268" s="287"/>
      <c r="Y268" s="287"/>
      <c r="Z268" s="287"/>
      <c r="AA268" s="287"/>
      <c r="AB268" s="287"/>
      <c r="AC268" s="287"/>
      <c r="AD268" s="287"/>
      <c r="AE268" s="287"/>
      <c r="AF268" s="287"/>
      <c r="AG268" s="287"/>
      <c r="AH268" s="287"/>
      <c r="AI268" s="287"/>
      <c r="AJ268" s="287"/>
      <c r="AK268" s="287"/>
      <c r="AL268" s="287"/>
      <c r="AM268" s="287"/>
      <c r="AN268" s="287"/>
      <c r="AO268" s="287"/>
      <c r="AP268" s="287"/>
      <c r="AQ268" s="287"/>
      <c r="AR268" s="287"/>
      <c r="AS268" s="287"/>
      <c r="AT268" s="287"/>
      <c r="AU268" s="287"/>
      <c r="AV268" s="287"/>
      <c r="AW268" s="287"/>
      <c r="AX268" s="287"/>
      <c r="AY268" s="287"/>
      <c r="AZ268" s="287"/>
      <c r="BA268" s="287"/>
      <c r="BB268" s="287"/>
      <c r="BC268" s="287"/>
      <c r="BD268" s="287"/>
      <c r="BE268" s="287"/>
      <c r="BF268" s="287"/>
      <c r="BG268" s="287"/>
      <c r="BH268" s="287"/>
      <c r="BI268" s="287"/>
      <c r="BJ268" s="287"/>
      <c r="BK268" s="287"/>
      <c r="BL268" s="287"/>
      <c r="BM268" s="287"/>
      <c r="BN268" s="287"/>
      <c r="BO268" s="287"/>
      <c r="BP268" s="287"/>
      <c r="BQ268" s="287"/>
      <c r="BR268" s="287"/>
      <c r="BS268" s="287"/>
      <c r="BT268" s="287"/>
      <c r="BU268" s="287"/>
      <c r="BV268" s="287"/>
      <c r="BW268" s="287"/>
      <c r="BX268" s="287"/>
      <c r="BY268" s="287"/>
      <c r="BZ268" s="287"/>
      <c r="CA268" s="287"/>
      <c r="CB268" s="287"/>
      <c r="CC268" s="287"/>
      <c r="CD268" s="287"/>
      <c r="CE268" s="287"/>
      <c r="CF268" s="287"/>
      <c r="CG268" s="287"/>
      <c r="CH268" s="287"/>
      <c r="CI268" s="287"/>
      <c r="CJ268" s="287"/>
      <c r="CK268" s="287"/>
      <c r="CL268" s="287"/>
      <c r="CM268" s="287"/>
      <c r="CN268" s="287"/>
      <c r="CO268" s="287"/>
      <c r="CP268" s="287"/>
      <c r="CQ268" s="287"/>
      <c r="CR268" s="287"/>
      <c r="CS268" s="287"/>
      <c r="CT268" s="287"/>
      <c r="CU268" s="287"/>
      <c r="CV268" s="287"/>
      <c r="CW268" s="287"/>
      <c r="CX268" s="287"/>
      <c r="CY268" s="287"/>
      <c r="CZ268" s="287"/>
      <c r="DA268" s="287"/>
      <c r="DB268" s="287"/>
      <c r="DC268" s="287"/>
      <c r="DD268" s="287"/>
      <c r="DE268" s="287"/>
      <c r="DF268" s="287"/>
      <c r="DG268" s="287"/>
      <c r="DH268" s="287"/>
      <c r="DI268" s="287"/>
      <c r="DJ268" s="287"/>
      <c r="DK268" s="287"/>
      <c r="DL268" s="287"/>
      <c r="DM268" s="287"/>
      <c r="DN268" s="287"/>
      <c r="DO268" s="287"/>
      <c r="DP268" s="287"/>
    </row>
    <row r="269" spans="1:120" s="96" customFormat="1" hidden="1" x14ac:dyDescent="0.25">
      <c r="A269" s="13"/>
      <c r="C269" s="110"/>
      <c r="D269" s="610"/>
      <c r="E269" s="610"/>
      <c r="F269" s="610"/>
      <c r="G269" s="109"/>
      <c r="H269" s="108"/>
      <c r="I269" s="105"/>
      <c r="O269" s="287"/>
      <c r="P269" s="439"/>
      <c r="Q269" s="287"/>
      <c r="R269" s="287"/>
      <c r="S269" s="287"/>
      <c r="T269" s="287"/>
      <c r="U269" s="287"/>
      <c r="V269" s="287"/>
      <c r="W269" s="287"/>
      <c r="X269" s="287"/>
      <c r="Y269" s="287"/>
      <c r="Z269" s="287"/>
      <c r="AA269" s="287"/>
      <c r="AB269" s="287"/>
      <c r="AC269" s="287"/>
      <c r="AD269" s="287"/>
      <c r="AE269" s="287"/>
      <c r="AF269" s="287"/>
      <c r="AG269" s="287"/>
      <c r="AH269" s="287"/>
      <c r="AI269" s="287"/>
      <c r="AJ269" s="287"/>
      <c r="AK269" s="287"/>
      <c r="AL269" s="287"/>
      <c r="AM269" s="287"/>
      <c r="AN269" s="287"/>
      <c r="AO269" s="287"/>
      <c r="AP269" s="287"/>
      <c r="AQ269" s="287"/>
      <c r="AR269" s="287"/>
      <c r="AS269" s="287"/>
      <c r="AT269" s="287"/>
      <c r="AU269" s="287"/>
      <c r="AV269" s="287"/>
      <c r="AW269" s="287"/>
      <c r="AX269" s="287"/>
      <c r="AY269" s="287"/>
      <c r="AZ269" s="287"/>
      <c r="BA269" s="287"/>
      <c r="BB269" s="287"/>
      <c r="BC269" s="287"/>
      <c r="BD269" s="287"/>
      <c r="BE269" s="287"/>
      <c r="BF269" s="287"/>
      <c r="BG269" s="287"/>
      <c r="BH269" s="287"/>
      <c r="BI269" s="287"/>
      <c r="BJ269" s="287"/>
      <c r="BK269" s="287"/>
      <c r="BL269" s="287"/>
      <c r="BM269" s="287"/>
      <c r="BN269" s="287"/>
      <c r="BO269" s="287"/>
      <c r="BP269" s="287"/>
      <c r="BQ269" s="287"/>
      <c r="BR269" s="287"/>
      <c r="BS269" s="287"/>
      <c r="BT269" s="287"/>
      <c r="BU269" s="287"/>
      <c r="BV269" s="287"/>
      <c r="BW269" s="287"/>
      <c r="BX269" s="287"/>
      <c r="BY269" s="287"/>
      <c r="BZ269" s="287"/>
      <c r="CA269" s="287"/>
      <c r="CB269" s="287"/>
      <c r="CC269" s="287"/>
      <c r="CD269" s="287"/>
      <c r="CE269" s="287"/>
      <c r="CF269" s="287"/>
      <c r="CG269" s="287"/>
      <c r="CH269" s="287"/>
      <c r="CI269" s="287"/>
      <c r="CJ269" s="287"/>
      <c r="CK269" s="287"/>
      <c r="CL269" s="287"/>
      <c r="CM269" s="287"/>
      <c r="CN269" s="287"/>
      <c r="CO269" s="287"/>
      <c r="CP269" s="287"/>
      <c r="CQ269" s="287"/>
      <c r="CR269" s="287"/>
      <c r="CS269" s="287"/>
      <c r="CT269" s="287"/>
      <c r="CU269" s="287"/>
      <c r="CV269" s="287"/>
      <c r="CW269" s="287"/>
      <c r="CX269" s="287"/>
      <c r="CY269" s="287"/>
      <c r="CZ269" s="287"/>
      <c r="DA269" s="287"/>
      <c r="DB269" s="287"/>
      <c r="DC269" s="287"/>
      <c r="DD269" s="287"/>
      <c r="DE269" s="287"/>
      <c r="DF269" s="287"/>
      <c r="DG269" s="287"/>
      <c r="DH269" s="287"/>
      <c r="DI269" s="287"/>
      <c r="DJ269" s="287"/>
      <c r="DK269" s="287"/>
      <c r="DL269" s="287"/>
      <c r="DM269" s="287"/>
      <c r="DN269" s="287"/>
      <c r="DO269" s="287"/>
      <c r="DP269" s="287"/>
    </row>
    <row r="270" spans="1:120" s="96" customFormat="1" hidden="1" x14ac:dyDescent="0.25">
      <c r="A270" s="13"/>
      <c r="C270" s="110"/>
      <c r="D270" s="610"/>
      <c r="E270" s="610"/>
      <c r="F270" s="610"/>
      <c r="G270" s="109"/>
      <c r="H270" s="108"/>
      <c r="I270" s="105"/>
      <c r="O270" s="287"/>
      <c r="P270" s="439"/>
      <c r="Q270" s="287"/>
      <c r="R270" s="287"/>
      <c r="S270" s="287"/>
      <c r="T270" s="287"/>
      <c r="U270" s="287"/>
      <c r="V270" s="287"/>
      <c r="W270" s="287"/>
      <c r="X270" s="287"/>
      <c r="Y270" s="287"/>
      <c r="Z270" s="287"/>
      <c r="AA270" s="287"/>
      <c r="AB270" s="287"/>
      <c r="AC270" s="287"/>
      <c r="AD270" s="287"/>
      <c r="AE270" s="287"/>
      <c r="AF270" s="287"/>
      <c r="AG270" s="287"/>
      <c r="AH270" s="287"/>
      <c r="AI270" s="287"/>
      <c r="AJ270" s="287"/>
      <c r="AK270" s="287"/>
      <c r="AL270" s="287"/>
      <c r="AM270" s="287"/>
      <c r="AN270" s="287"/>
      <c r="AO270" s="287"/>
      <c r="AP270" s="287"/>
      <c r="AQ270" s="287"/>
      <c r="AR270" s="287"/>
      <c r="AS270" s="287"/>
      <c r="AT270" s="287"/>
      <c r="AU270" s="287"/>
      <c r="AV270" s="287"/>
      <c r="AW270" s="287"/>
      <c r="AX270" s="287"/>
      <c r="AY270" s="287"/>
      <c r="AZ270" s="287"/>
      <c r="BA270" s="287"/>
      <c r="BB270" s="287"/>
      <c r="BC270" s="287"/>
      <c r="BD270" s="287"/>
      <c r="BE270" s="287"/>
      <c r="BF270" s="287"/>
      <c r="BG270" s="287"/>
      <c r="BH270" s="287"/>
      <c r="BI270" s="287"/>
      <c r="BJ270" s="287"/>
      <c r="BK270" s="287"/>
      <c r="BL270" s="287"/>
      <c r="BM270" s="287"/>
      <c r="BN270" s="287"/>
      <c r="BO270" s="287"/>
      <c r="BP270" s="287"/>
      <c r="BQ270" s="287"/>
      <c r="BR270" s="287"/>
      <c r="BS270" s="287"/>
      <c r="BT270" s="287"/>
      <c r="BU270" s="287"/>
      <c r="BV270" s="287"/>
      <c r="BW270" s="287"/>
      <c r="BX270" s="287"/>
      <c r="BY270" s="287"/>
      <c r="BZ270" s="287"/>
      <c r="CA270" s="287"/>
      <c r="CB270" s="287"/>
      <c r="CC270" s="287"/>
      <c r="CD270" s="287"/>
      <c r="CE270" s="287"/>
      <c r="CF270" s="287"/>
      <c r="CG270" s="287"/>
      <c r="CH270" s="287"/>
      <c r="CI270" s="287"/>
      <c r="CJ270" s="287"/>
      <c r="CK270" s="287"/>
      <c r="CL270" s="287"/>
      <c r="CM270" s="287"/>
      <c r="CN270" s="287"/>
      <c r="CO270" s="287"/>
      <c r="CP270" s="287"/>
      <c r="CQ270" s="287"/>
      <c r="CR270" s="287"/>
      <c r="CS270" s="287"/>
      <c r="CT270" s="287"/>
      <c r="CU270" s="287"/>
      <c r="CV270" s="287"/>
      <c r="CW270" s="287"/>
      <c r="CX270" s="287"/>
      <c r="CY270" s="287"/>
      <c r="CZ270" s="287"/>
      <c r="DA270" s="287"/>
      <c r="DB270" s="287"/>
      <c r="DC270" s="287"/>
      <c r="DD270" s="287"/>
      <c r="DE270" s="287"/>
      <c r="DF270" s="287"/>
      <c r="DG270" s="287"/>
      <c r="DH270" s="287"/>
      <c r="DI270" s="287"/>
      <c r="DJ270" s="287"/>
      <c r="DK270" s="287"/>
      <c r="DL270" s="287"/>
      <c r="DM270" s="287"/>
      <c r="DN270" s="287"/>
      <c r="DO270" s="287"/>
      <c r="DP270" s="287"/>
    </row>
    <row r="271" spans="1:120" s="96" customFormat="1" hidden="1" x14ac:dyDescent="0.25">
      <c r="A271" s="13"/>
      <c r="C271" s="110"/>
      <c r="D271" s="610"/>
      <c r="E271" s="610"/>
      <c r="F271" s="610"/>
      <c r="G271" s="109"/>
      <c r="H271" s="108"/>
      <c r="I271" s="105"/>
      <c r="O271" s="287"/>
      <c r="P271" s="439"/>
      <c r="Q271" s="287"/>
      <c r="R271" s="287"/>
      <c r="S271" s="287"/>
      <c r="T271" s="287"/>
      <c r="U271" s="287"/>
      <c r="V271" s="287"/>
      <c r="W271" s="287"/>
      <c r="X271" s="287"/>
      <c r="Y271" s="287"/>
      <c r="Z271" s="287"/>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287"/>
      <c r="BJ271" s="287"/>
      <c r="BK271" s="287"/>
      <c r="BL271" s="287"/>
      <c r="BM271" s="287"/>
      <c r="BN271" s="287"/>
      <c r="BO271" s="287"/>
      <c r="BP271" s="287"/>
      <c r="BQ271" s="287"/>
      <c r="BR271" s="287"/>
      <c r="BS271" s="287"/>
      <c r="BT271" s="287"/>
      <c r="BU271" s="287"/>
      <c r="BV271" s="287"/>
      <c r="BW271" s="287"/>
      <c r="BX271" s="287"/>
      <c r="BY271" s="287"/>
      <c r="BZ271" s="287"/>
      <c r="CA271" s="287"/>
      <c r="CB271" s="287"/>
      <c r="CC271" s="287"/>
      <c r="CD271" s="287"/>
      <c r="CE271" s="287"/>
      <c r="CF271" s="287"/>
      <c r="CG271" s="287"/>
      <c r="CH271" s="287"/>
      <c r="CI271" s="287"/>
      <c r="CJ271" s="287"/>
      <c r="CK271" s="287"/>
      <c r="CL271" s="287"/>
      <c r="CM271" s="287"/>
      <c r="CN271" s="287"/>
      <c r="CO271" s="287"/>
      <c r="CP271" s="287"/>
      <c r="CQ271" s="287"/>
      <c r="CR271" s="287"/>
      <c r="CS271" s="287"/>
      <c r="CT271" s="287"/>
      <c r="CU271" s="287"/>
      <c r="CV271" s="287"/>
      <c r="CW271" s="287"/>
      <c r="CX271" s="287"/>
      <c r="CY271" s="287"/>
      <c r="CZ271" s="287"/>
      <c r="DA271" s="287"/>
      <c r="DB271" s="287"/>
      <c r="DC271" s="287"/>
      <c r="DD271" s="287"/>
      <c r="DE271" s="287"/>
      <c r="DF271" s="287"/>
      <c r="DG271" s="287"/>
      <c r="DH271" s="287"/>
      <c r="DI271" s="287"/>
      <c r="DJ271" s="287"/>
      <c r="DK271" s="287"/>
      <c r="DL271" s="287"/>
      <c r="DM271" s="287"/>
      <c r="DN271" s="287"/>
      <c r="DO271" s="287"/>
      <c r="DP271" s="287"/>
    </row>
    <row r="272" spans="1:120" s="16" customFormat="1" hidden="1" x14ac:dyDescent="0.25">
      <c r="A272" s="13"/>
      <c r="C272" s="110"/>
      <c r="D272" s="610"/>
      <c r="E272" s="610"/>
      <c r="F272" s="610"/>
      <c r="G272" s="109"/>
      <c r="H272" s="108"/>
      <c r="I272" s="105"/>
      <c r="O272" s="287"/>
      <c r="P272" s="439"/>
      <c r="Q272" s="287"/>
      <c r="R272" s="287"/>
      <c r="S272" s="287"/>
      <c r="T272" s="287"/>
      <c r="U272" s="287"/>
      <c r="V272" s="287"/>
      <c r="W272" s="287"/>
      <c r="X272" s="287"/>
      <c r="Y272" s="287"/>
      <c r="Z272" s="287"/>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287"/>
      <c r="BJ272" s="287"/>
      <c r="BK272" s="287"/>
      <c r="BL272" s="287"/>
      <c r="BM272" s="287"/>
      <c r="BN272" s="287"/>
      <c r="BO272" s="287"/>
      <c r="BP272" s="287"/>
      <c r="BQ272" s="287"/>
      <c r="BR272" s="287"/>
      <c r="BS272" s="287"/>
      <c r="BT272" s="287"/>
      <c r="BU272" s="287"/>
      <c r="BV272" s="287"/>
      <c r="BW272" s="287"/>
      <c r="BX272" s="287"/>
      <c r="BY272" s="287"/>
      <c r="BZ272" s="287"/>
      <c r="CA272" s="287"/>
      <c r="CB272" s="287"/>
      <c r="CC272" s="287"/>
      <c r="CD272" s="287"/>
      <c r="CE272" s="287"/>
      <c r="CF272" s="287"/>
      <c r="CG272" s="287"/>
      <c r="CH272" s="287"/>
      <c r="CI272" s="287"/>
      <c r="CJ272" s="287"/>
      <c r="CK272" s="287"/>
      <c r="CL272" s="287"/>
      <c r="CM272" s="287"/>
      <c r="CN272" s="287"/>
      <c r="CO272" s="287"/>
      <c r="CP272" s="287"/>
      <c r="CQ272" s="287"/>
      <c r="CR272" s="287"/>
      <c r="CS272" s="287"/>
      <c r="CT272" s="287"/>
      <c r="CU272" s="287"/>
      <c r="CV272" s="287"/>
      <c r="CW272" s="287"/>
      <c r="CX272" s="287"/>
      <c r="CY272" s="287"/>
      <c r="CZ272" s="287"/>
      <c r="DA272" s="287"/>
      <c r="DB272" s="287"/>
      <c r="DC272" s="287"/>
      <c r="DD272" s="287"/>
      <c r="DE272" s="287"/>
      <c r="DF272" s="287"/>
      <c r="DG272" s="287"/>
      <c r="DH272" s="287"/>
      <c r="DI272" s="287"/>
      <c r="DJ272" s="287"/>
      <c r="DK272" s="287"/>
      <c r="DL272" s="287"/>
      <c r="DM272" s="287"/>
      <c r="DN272" s="287"/>
      <c r="DO272" s="287"/>
      <c r="DP272" s="287"/>
    </row>
    <row r="273" spans="1:120" hidden="1" x14ac:dyDescent="0.25">
      <c r="C273" s="110"/>
      <c r="D273" s="610"/>
      <c r="E273" s="610"/>
      <c r="F273" s="610"/>
      <c r="G273" s="109"/>
      <c r="H273" s="108"/>
      <c r="I273" s="105"/>
      <c r="M273" s="16"/>
      <c r="N273" s="16"/>
      <c r="O273" s="287"/>
      <c r="P273" s="439"/>
      <c r="Q273" s="287"/>
      <c r="R273" s="287"/>
      <c r="S273" s="287"/>
      <c r="T273" s="287"/>
      <c r="U273" s="287"/>
      <c r="V273" s="287"/>
      <c r="W273" s="287"/>
      <c r="X273" s="287"/>
      <c r="Y273" s="287"/>
      <c r="Z273" s="287"/>
      <c r="AA273" s="287"/>
      <c r="AB273" s="287"/>
      <c r="AC273" s="287"/>
      <c r="AD273" s="287"/>
      <c r="AE273" s="287"/>
      <c r="AF273" s="287"/>
      <c r="AG273" s="287"/>
      <c r="AH273" s="287"/>
      <c r="AI273" s="287"/>
      <c r="AJ273" s="287"/>
      <c r="AK273" s="287"/>
      <c r="AL273" s="287"/>
      <c r="AM273" s="287"/>
      <c r="AN273" s="287"/>
      <c r="AO273" s="287"/>
      <c r="AP273" s="287"/>
      <c r="AQ273" s="287"/>
      <c r="AR273" s="287"/>
      <c r="AS273" s="287"/>
      <c r="AT273" s="287"/>
      <c r="AU273" s="287"/>
      <c r="AV273" s="287"/>
      <c r="AW273" s="287"/>
      <c r="AX273" s="287"/>
      <c r="AY273" s="287"/>
      <c r="AZ273" s="287"/>
      <c r="BA273" s="287"/>
      <c r="BB273" s="287"/>
      <c r="BC273" s="287"/>
      <c r="BD273" s="287"/>
      <c r="BE273" s="287"/>
      <c r="BF273" s="287"/>
      <c r="BG273" s="287"/>
      <c r="BH273" s="287"/>
      <c r="BI273" s="287"/>
      <c r="BJ273" s="287"/>
      <c r="BK273" s="287"/>
      <c r="BL273" s="287"/>
      <c r="BM273" s="287"/>
      <c r="BN273" s="287"/>
      <c r="BO273" s="287"/>
      <c r="BP273" s="287"/>
      <c r="BQ273" s="287"/>
      <c r="BR273" s="287"/>
      <c r="BS273" s="287"/>
      <c r="BT273" s="287"/>
      <c r="BU273" s="287"/>
      <c r="BV273" s="287"/>
      <c r="BW273" s="287"/>
      <c r="BX273" s="287"/>
      <c r="BY273" s="287"/>
      <c r="BZ273" s="287"/>
      <c r="CA273" s="287"/>
      <c r="CB273" s="287"/>
      <c r="CC273" s="287"/>
      <c r="CD273" s="287"/>
      <c r="CE273" s="287"/>
      <c r="CF273" s="287"/>
      <c r="CG273" s="287"/>
      <c r="CH273" s="287"/>
      <c r="CI273" s="287"/>
      <c r="CJ273" s="287"/>
      <c r="CK273" s="287"/>
      <c r="CL273" s="287"/>
      <c r="CM273" s="287"/>
      <c r="CN273" s="287"/>
      <c r="CO273" s="287"/>
      <c r="CP273" s="287"/>
      <c r="CQ273" s="287"/>
      <c r="CR273" s="287"/>
      <c r="CS273" s="287"/>
      <c r="CT273" s="287"/>
      <c r="CU273" s="287"/>
      <c r="CV273" s="287"/>
      <c r="CW273" s="287"/>
      <c r="CX273" s="287"/>
      <c r="CY273" s="287"/>
      <c r="CZ273" s="287"/>
      <c r="DA273" s="287"/>
      <c r="DB273" s="287"/>
      <c r="DC273" s="287"/>
      <c r="DD273" s="287"/>
      <c r="DE273" s="287"/>
      <c r="DF273" s="287"/>
      <c r="DG273" s="287"/>
      <c r="DH273" s="287"/>
      <c r="DI273" s="287"/>
      <c r="DJ273" s="287"/>
      <c r="DK273" s="287"/>
      <c r="DL273" s="287"/>
      <c r="DM273" s="287"/>
      <c r="DN273" s="287"/>
      <c r="DO273" s="287"/>
      <c r="DP273" s="287"/>
    </row>
    <row r="274" spans="1:120" hidden="1" x14ac:dyDescent="0.25">
      <c r="C274" s="110"/>
      <c r="D274" s="610"/>
      <c r="E274" s="610"/>
      <c r="F274" s="610"/>
      <c r="G274" s="109"/>
      <c r="H274" s="108"/>
      <c r="I274" s="105"/>
      <c r="M274" s="16"/>
      <c r="N274" s="16"/>
      <c r="O274" s="287"/>
      <c r="P274" s="439"/>
      <c r="Q274" s="287"/>
      <c r="R274" s="287"/>
      <c r="S274" s="287"/>
      <c r="T274" s="287"/>
      <c r="U274" s="287"/>
      <c r="V274" s="287"/>
      <c r="W274" s="287"/>
      <c r="X274" s="287"/>
      <c r="Y274" s="287"/>
      <c r="Z274" s="287"/>
      <c r="AA274" s="287"/>
      <c r="AB274" s="287"/>
      <c r="AC274" s="287"/>
      <c r="AD274" s="287"/>
      <c r="AE274" s="287"/>
      <c r="AF274" s="287"/>
      <c r="AG274" s="287"/>
      <c r="AH274" s="287"/>
      <c r="AI274" s="287"/>
      <c r="AJ274" s="287"/>
      <c r="AK274" s="287"/>
      <c r="AL274" s="287"/>
      <c r="AM274" s="287"/>
      <c r="AN274" s="287"/>
      <c r="AO274" s="287"/>
      <c r="AP274" s="287"/>
      <c r="AQ274" s="287"/>
      <c r="AR274" s="287"/>
      <c r="AS274" s="287"/>
      <c r="AT274" s="287"/>
      <c r="AU274" s="287"/>
      <c r="AV274" s="287"/>
      <c r="AW274" s="287"/>
      <c r="AX274" s="287"/>
      <c r="AY274" s="287"/>
      <c r="AZ274" s="287"/>
      <c r="BA274" s="287"/>
      <c r="BB274" s="287"/>
      <c r="BC274" s="287"/>
      <c r="BD274" s="287"/>
      <c r="BE274" s="287"/>
      <c r="BF274" s="287"/>
      <c r="BG274" s="287"/>
      <c r="BH274" s="287"/>
      <c r="BI274" s="287"/>
      <c r="BJ274" s="287"/>
      <c r="BK274" s="287"/>
      <c r="BL274" s="287"/>
      <c r="BM274" s="287"/>
      <c r="BN274" s="287"/>
      <c r="BO274" s="287"/>
      <c r="BP274" s="287"/>
      <c r="BQ274" s="287"/>
      <c r="BR274" s="287"/>
      <c r="BS274" s="287"/>
      <c r="BT274" s="287"/>
      <c r="BU274" s="287"/>
      <c r="BV274" s="287"/>
      <c r="BW274" s="287"/>
      <c r="BX274" s="287"/>
      <c r="BY274" s="287"/>
      <c r="BZ274" s="287"/>
      <c r="CA274" s="287"/>
      <c r="CB274" s="287"/>
      <c r="CC274" s="287"/>
      <c r="CD274" s="287"/>
      <c r="CE274" s="287"/>
      <c r="CF274" s="287"/>
      <c r="CG274" s="287"/>
      <c r="CH274" s="287"/>
      <c r="CI274" s="287"/>
      <c r="CJ274" s="287"/>
      <c r="CK274" s="287"/>
      <c r="CL274" s="287"/>
      <c r="CM274" s="287"/>
      <c r="CN274" s="287"/>
      <c r="CO274" s="287"/>
      <c r="CP274" s="287"/>
      <c r="CQ274" s="287"/>
      <c r="CR274" s="287"/>
      <c r="CS274" s="287"/>
      <c r="CT274" s="287"/>
      <c r="CU274" s="287"/>
      <c r="CV274" s="287"/>
      <c r="CW274" s="287"/>
      <c r="CX274" s="287"/>
      <c r="CY274" s="287"/>
      <c r="CZ274" s="287"/>
      <c r="DA274" s="287"/>
      <c r="DB274" s="287"/>
      <c r="DC274" s="287"/>
      <c r="DD274" s="287"/>
      <c r="DE274" s="287"/>
      <c r="DF274" s="287"/>
      <c r="DG274" s="287"/>
      <c r="DH274" s="287"/>
      <c r="DI274" s="287"/>
      <c r="DJ274" s="287"/>
      <c r="DK274" s="287"/>
      <c r="DL274" s="287"/>
      <c r="DM274" s="287"/>
      <c r="DN274" s="287"/>
      <c r="DO274" s="287"/>
      <c r="DP274" s="287"/>
    </row>
    <row r="275" spans="1:120" hidden="1" x14ac:dyDescent="0.25">
      <c r="C275" s="110"/>
      <c r="D275" s="610"/>
      <c r="E275" s="610"/>
      <c r="F275" s="610"/>
      <c r="G275" s="109"/>
      <c r="H275" s="108"/>
      <c r="I275" s="105"/>
      <c r="M275" s="16"/>
      <c r="N275" s="16"/>
      <c r="O275" s="287"/>
      <c r="P275" s="439"/>
      <c r="Q275" s="287"/>
      <c r="R275" s="287"/>
      <c r="S275" s="287"/>
      <c r="T275" s="287"/>
      <c r="U275" s="287"/>
      <c r="V275" s="287"/>
      <c r="W275" s="287"/>
      <c r="X275" s="287"/>
      <c r="Y275" s="287"/>
      <c r="Z275" s="287"/>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7"/>
      <c r="BO275" s="287"/>
      <c r="BP275" s="287"/>
      <c r="BQ275" s="287"/>
      <c r="BR275" s="287"/>
      <c r="BS275" s="287"/>
      <c r="BT275" s="287"/>
      <c r="BU275" s="287"/>
      <c r="BV275" s="287"/>
      <c r="BW275" s="287"/>
      <c r="BX275" s="287"/>
      <c r="BY275" s="287"/>
      <c r="BZ275" s="287"/>
      <c r="CA275" s="287"/>
      <c r="CB275" s="287"/>
      <c r="CC275" s="287"/>
      <c r="CD275" s="287"/>
      <c r="CE275" s="287"/>
      <c r="CF275" s="287"/>
      <c r="CG275" s="287"/>
      <c r="CH275" s="287"/>
      <c r="CI275" s="287"/>
      <c r="CJ275" s="287"/>
      <c r="CK275" s="287"/>
      <c r="CL275" s="287"/>
      <c r="CM275" s="287"/>
      <c r="CN275" s="287"/>
      <c r="CO275" s="287"/>
      <c r="CP275" s="287"/>
      <c r="CQ275" s="287"/>
      <c r="CR275" s="287"/>
      <c r="CS275" s="287"/>
      <c r="CT275" s="287"/>
      <c r="CU275" s="287"/>
      <c r="CV275" s="287"/>
      <c r="CW275" s="287"/>
      <c r="CX275" s="287"/>
      <c r="CY275" s="287"/>
      <c r="CZ275" s="287"/>
      <c r="DA275" s="287"/>
      <c r="DB275" s="287"/>
      <c r="DC275" s="287"/>
      <c r="DD275" s="287"/>
      <c r="DE275" s="287"/>
      <c r="DF275" s="287"/>
      <c r="DG275" s="287"/>
      <c r="DH275" s="287"/>
      <c r="DI275" s="287"/>
      <c r="DJ275" s="287"/>
      <c r="DK275" s="287"/>
      <c r="DL275" s="287"/>
      <c r="DM275" s="287"/>
      <c r="DN275" s="287"/>
      <c r="DO275" s="287"/>
      <c r="DP275" s="287"/>
    </row>
    <row r="276" spans="1:120" hidden="1" x14ac:dyDescent="0.25">
      <c r="C276" s="110"/>
      <c r="D276" s="610"/>
      <c r="E276" s="610"/>
      <c r="F276" s="610"/>
      <c r="G276" s="109"/>
      <c r="H276" s="108"/>
      <c r="I276" s="105"/>
      <c r="M276" s="16"/>
      <c r="N276" s="16"/>
      <c r="O276" s="287"/>
      <c r="P276" s="439"/>
      <c r="Q276" s="287"/>
      <c r="R276" s="287"/>
      <c r="S276" s="287"/>
      <c r="T276" s="287"/>
      <c r="U276" s="287"/>
      <c r="V276" s="287"/>
      <c r="W276" s="287"/>
      <c r="X276" s="287"/>
      <c r="Y276" s="287"/>
      <c r="Z276" s="287"/>
      <c r="AA276" s="287"/>
      <c r="AB276" s="287"/>
      <c r="AC276" s="287"/>
      <c r="AD276" s="287"/>
      <c r="AE276" s="287"/>
      <c r="AF276" s="287"/>
      <c r="AG276" s="287"/>
      <c r="AH276" s="287"/>
      <c r="AI276" s="287"/>
      <c r="AJ276" s="287"/>
      <c r="AK276" s="287"/>
      <c r="AL276" s="287"/>
      <c r="AM276" s="287"/>
      <c r="AN276" s="287"/>
      <c r="AO276" s="287"/>
      <c r="AP276" s="287"/>
      <c r="AQ276" s="287"/>
      <c r="AR276" s="287"/>
      <c r="AS276" s="287"/>
      <c r="AT276" s="287"/>
      <c r="AU276" s="287"/>
      <c r="AV276" s="287"/>
      <c r="AW276" s="287"/>
      <c r="AX276" s="287"/>
      <c r="AY276" s="287"/>
      <c r="AZ276" s="287"/>
      <c r="BA276" s="287"/>
      <c r="BB276" s="287"/>
      <c r="BC276" s="287"/>
      <c r="BD276" s="287"/>
      <c r="BE276" s="287"/>
      <c r="BF276" s="287"/>
      <c r="BG276" s="287"/>
      <c r="BH276" s="287"/>
      <c r="BI276" s="287"/>
      <c r="BJ276" s="287"/>
      <c r="BK276" s="287"/>
      <c r="BL276" s="287"/>
      <c r="BM276" s="287"/>
      <c r="BN276" s="287"/>
      <c r="BO276" s="287"/>
      <c r="BP276" s="287"/>
      <c r="BQ276" s="287"/>
      <c r="BR276" s="287"/>
      <c r="BS276" s="287"/>
      <c r="BT276" s="287"/>
      <c r="BU276" s="287"/>
      <c r="BV276" s="287"/>
      <c r="BW276" s="287"/>
      <c r="BX276" s="287"/>
      <c r="BY276" s="287"/>
      <c r="BZ276" s="287"/>
      <c r="CA276" s="287"/>
      <c r="CB276" s="287"/>
      <c r="CC276" s="287"/>
      <c r="CD276" s="287"/>
      <c r="CE276" s="287"/>
      <c r="CF276" s="287"/>
      <c r="CG276" s="287"/>
      <c r="CH276" s="287"/>
      <c r="CI276" s="287"/>
      <c r="CJ276" s="287"/>
      <c r="CK276" s="287"/>
      <c r="CL276" s="287"/>
      <c r="CM276" s="287"/>
      <c r="CN276" s="287"/>
      <c r="CO276" s="287"/>
      <c r="CP276" s="287"/>
      <c r="CQ276" s="287"/>
      <c r="CR276" s="287"/>
      <c r="CS276" s="287"/>
      <c r="CT276" s="287"/>
      <c r="CU276" s="287"/>
      <c r="CV276" s="287"/>
      <c r="CW276" s="287"/>
      <c r="CX276" s="287"/>
      <c r="CY276" s="287"/>
      <c r="CZ276" s="287"/>
      <c r="DA276" s="287"/>
      <c r="DB276" s="287"/>
      <c r="DC276" s="287"/>
      <c r="DD276" s="287"/>
      <c r="DE276" s="287"/>
      <c r="DF276" s="287"/>
      <c r="DG276" s="287"/>
      <c r="DH276" s="287"/>
      <c r="DI276" s="287"/>
      <c r="DJ276" s="287"/>
      <c r="DK276" s="287"/>
      <c r="DL276" s="287"/>
      <c r="DM276" s="287"/>
      <c r="DN276" s="287"/>
      <c r="DO276" s="287"/>
      <c r="DP276" s="287"/>
    </row>
    <row r="277" spans="1:120" hidden="1" x14ac:dyDescent="0.25">
      <c r="C277" s="110"/>
      <c r="D277" s="610"/>
      <c r="E277" s="610"/>
      <c r="F277" s="610"/>
      <c r="G277" s="109"/>
      <c r="H277" s="108"/>
      <c r="I277" s="105"/>
      <c r="O277" s="287"/>
      <c r="P277" s="439"/>
      <c r="Q277" s="287"/>
      <c r="R277" s="287"/>
      <c r="S277" s="287"/>
      <c r="T277" s="287"/>
      <c r="U277" s="287"/>
      <c r="V277" s="287"/>
      <c r="W277" s="287"/>
      <c r="X277" s="287"/>
      <c r="Y277" s="287"/>
      <c r="Z277" s="287"/>
      <c r="AA277" s="287"/>
      <c r="AB277" s="287"/>
      <c r="AC277" s="287"/>
      <c r="AD277" s="287"/>
      <c r="AE277" s="287"/>
      <c r="AF277" s="287"/>
      <c r="AG277" s="287"/>
      <c r="AH277" s="287"/>
      <c r="AI277" s="287"/>
      <c r="AJ277" s="287"/>
      <c r="AK277" s="287"/>
      <c r="AL277" s="287"/>
      <c r="AM277" s="287"/>
      <c r="AN277" s="287"/>
      <c r="AO277" s="287"/>
      <c r="AP277" s="287"/>
      <c r="AQ277" s="287"/>
      <c r="AR277" s="287"/>
      <c r="AS277" s="287"/>
      <c r="AT277" s="287"/>
      <c r="AU277" s="287"/>
      <c r="AV277" s="287"/>
      <c r="AW277" s="287"/>
      <c r="AX277" s="287"/>
      <c r="AY277" s="287"/>
      <c r="AZ277" s="287"/>
      <c r="BA277" s="287"/>
      <c r="BB277" s="287"/>
      <c r="BC277" s="287"/>
      <c r="BD277" s="287"/>
      <c r="BE277" s="287"/>
      <c r="BF277" s="287"/>
      <c r="BG277" s="287"/>
      <c r="BH277" s="287"/>
      <c r="BI277" s="287"/>
      <c r="BJ277" s="287"/>
      <c r="BK277" s="287"/>
      <c r="BL277" s="287"/>
      <c r="BM277" s="287"/>
      <c r="BN277" s="287"/>
      <c r="BO277" s="287"/>
      <c r="BP277" s="287"/>
      <c r="BQ277" s="287"/>
      <c r="BR277" s="287"/>
      <c r="BS277" s="287"/>
      <c r="BT277" s="287"/>
      <c r="BU277" s="287"/>
      <c r="BV277" s="287"/>
      <c r="BW277" s="287"/>
      <c r="BX277" s="287"/>
      <c r="BY277" s="287"/>
      <c r="BZ277" s="287"/>
      <c r="CA277" s="287"/>
      <c r="CB277" s="287"/>
      <c r="CC277" s="287"/>
      <c r="CD277" s="287"/>
      <c r="CE277" s="287"/>
      <c r="CF277" s="287"/>
      <c r="CG277" s="287"/>
      <c r="CH277" s="287"/>
      <c r="CI277" s="287"/>
      <c r="CJ277" s="287"/>
      <c r="CK277" s="287"/>
      <c r="CL277" s="287"/>
      <c r="CM277" s="287"/>
      <c r="CN277" s="287"/>
      <c r="CO277" s="287"/>
      <c r="CP277" s="287"/>
      <c r="CQ277" s="287"/>
      <c r="CR277" s="287"/>
      <c r="CS277" s="287"/>
      <c r="CT277" s="287"/>
      <c r="CU277" s="287"/>
      <c r="CV277" s="287"/>
      <c r="CW277" s="287"/>
      <c r="CX277" s="287"/>
      <c r="CY277" s="287"/>
      <c r="CZ277" s="287"/>
      <c r="DA277" s="287"/>
      <c r="DB277" s="287"/>
      <c r="DC277" s="287"/>
      <c r="DD277" s="287"/>
      <c r="DE277" s="287"/>
      <c r="DF277" s="287"/>
      <c r="DG277" s="287"/>
      <c r="DH277" s="287"/>
      <c r="DI277" s="287"/>
      <c r="DJ277" s="287"/>
      <c r="DK277" s="287"/>
      <c r="DL277" s="287"/>
      <c r="DM277" s="287"/>
      <c r="DN277" s="287"/>
      <c r="DO277" s="287"/>
      <c r="DP277" s="287"/>
    </row>
    <row r="278" spans="1:120" s="101" customFormat="1" hidden="1" x14ac:dyDescent="0.25">
      <c r="A278" s="13"/>
      <c r="C278" s="110"/>
      <c r="D278" s="610"/>
      <c r="E278" s="610"/>
      <c r="F278" s="610"/>
      <c r="G278" s="109"/>
      <c r="H278" s="108"/>
      <c r="I278" s="105"/>
      <c r="O278" s="287"/>
      <c r="P278" s="439"/>
      <c r="Q278" s="287"/>
      <c r="R278" s="287"/>
      <c r="S278" s="287"/>
      <c r="T278" s="287"/>
      <c r="U278" s="287"/>
      <c r="V278" s="287"/>
      <c r="W278" s="287"/>
      <c r="X278" s="287"/>
      <c r="Y278" s="287"/>
      <c r="Z278" s="287"/>
      <c r="AA278" s="287"/>
      <c r="AB278" s="287"/>
      <c r="AC278" s="287"/>
      <c r="AD278" s="287"/>
      <c r="AE278" s="287"/>
      <c r="AF278" s="287"/>
      <c r="AG278" s="287"/>
      <c r="AH278" s="287"/>
      <c r="AI278" s="287"/>
      <c r="AJ278" s="287"/>
      <c r="AK278" s="287"/>
      <c r="AL278" s="287"/>
      <c r="AM278" s="287"/>
      <c r="AN278" s="287"/>
      <c r="AO278" s="287"/>
      <c r="AP278" s="287"/>
      <c r="AQ278" s="287"/>
      <c r="AR278" s="287"/>
      <c r="AS278" s="287"/>
      <c r="AT278" s="287"/>
      <c r="AU278" s="287"/>
      <c r="AV278" s="287"/>
      <c r="AW278" s="287"/>
      <c r="AX278" s="287"/>
      <c r="AY278" s="287"/>
      <c r="AZ278" s="287"/>
      <c r="BA278" s="287"/>
      <c r="BB278" s="287"/>
      <c r="BC278" s="287"/>
      <c r="BD278" s="287"/>
      <c r="BE278" s="287"/>
      <c r="BF278" s="287"/>
      <c r="BG278" s="287"/>
      <c r="BH278" s="287"/>
      <c r="BI278" s="287"/>
      <c r="BJ278" s="287"/>
      <c r="BK278" s="287"/>
      <c r="BL278" s="287"/>
      <c r="BM278" s="287"/>
      <c r="BN278" s="287"/>
      <c r="BO278" s="287"/>
      <c r="BP278" s="287"/>
      <c r="BQ278" s="287"/>
      <c r="BR278" s="287"/>
      <c r="BS278" s="287"/>
      <c r="BT278" s="287"/>
      <c r="BU278" s="287"/>
      <c r="BV278" s="287"/>
      <c r="BW278" s="287"/>
      <c r="BX278" s="287"/>
      <c r="BY278" s="287"/>
      <c r="BZ278" s="287"/>
      <c r="CA278" s="287"/>
      <c r="CB278" s="287"/>
      <c r="CC278" s="287"/>
      <c r="CD278" s="287"/>
      <c r="CE278" s="287"/>
      <c r="CF278" s="287"/>
      <c r="CG278" s="287"/>
      <c r="CH278" s="287"/>
      <c r="CI278" s="287"/>
      <c r="CJ278" s="287"/>
      <c r="CK278" s="287"/>
      <c r="CL278" s="287"/>
      <c r="CM278" s="287"/>
      <c r="CN278" s="287"/>
      <c r="CO278" s="287"/>
      <c r="CP278" s="287"/>
      <c r="CQ278" s="287"/>
      <c r="CR278" s="287"/>
      <c r="CS278" s="287"/>
      <c r="CT278" s="287"/>
      <c r="CU278" s="287"/>
      <c r="CV278" s="287"/>
      <c r="CW278" s="287"/>
      <c r="CX278" s="287"/>
      <c r="CY278" s="287"/>
      <c r="CZ278" s="287"/>
      <c r="DA278" s="287"/>
      <c r="DB278" s="287"/>
      <c r="DC278" s="287"/>
      <c r="DD278" s="287"/>
      <c r="DE278" s="287"/>
      <c r="DF278" s="287"/>
      <c r="DG278" s="287"/>
      <c r="DH278" s="287"/>
      <c r="DI278" s="287"/>
      <c r="DJ278" s="287"/>
      <c r="DK278" s="287"/>
      <c r="DL278" s="287"/>
      <c r="DM278" s="287"/>
      <c r="DN278" s="287"/>
      <c r="DO278" s="287"/>
      <c r="DP278" s="287"/>
    </row>
    <row r="279" spans="1:120" s="23" customFormat="1" hidden="1" x14ac:dyDescent="0.25">
      <c r="A279" s="13"/>
      <c r="B279" s="19"/>
      <c r="C279" s="110"/>
      <c r="D279" s="610"/>
      <c r="E279" s="610"/>
      <c r="F279" s="610"/>
      <c r="G279" s="109"/>
      <c r="H279" s="108"/>
      <c r="I279" s="105"/>
      <c r="M279"/>
      <c r="N279"/>
      <c r="O279" s="287"/>
      <c r="P279" s="439"/>
      <c r="Q279" s="287"/>
      <c r="R279" s="287"/>
      <c r="S279" s="287"/>
      <c r="T279" s="287"/>
      <c r="U279" s="287"/>
      <c r="V279" s="287"/>
      <c r="W279" s="287"/>
      <c r="X279" s="287"/>
      <c r="Y279" s="287"/>
      <c r="Z279" s="287"/>
      <c r="AA279" s="287"/>
      <c r="AB279" s="287"/>
      <c r="AC279" s="287"/>
      <c r="AD279" s="287"/>
      <c r="AE279" s="287"/>
      <c r="AF279" s="287"/>
      <c r="AG279" s="287"/>
      <c r="AH279" s="287"/>
      <c r="AI279" s="287"/>
      <c r="AJ279" s="287"/>
      <c r="AK279" s="287"/>
      <c r="AL279" s="287"/>
      <c r="AM279" s="287"/>
      <c r="AN279" s="287"/>
      <c r="AO279" s="287"/>
      <c r="AP279" s="287"/>
      <c r="AQ279" s="287"/>
      <c r="AR279" s="287"/>
      <c r="AS279" s="287"/>
      <c r="AT279" s="287"/>
      <c r="AU279" s="287"/>
      <c r="AV279" s="287"/>
      <c r="AW279" s="287"/>
      <c r="AX279" s="287"/>
      <c r="AY279" s="287"/>
      <c r="AZ279" s="287"/>
      <c r="BA279" s="287"/>
      <c r="BB279" s="287"/>
      <c r="BC279" s="287"/>
      <c r="BD279" s="287"/>
      <c r="BE279" s="287"/>
      <c r="BF279" s="287"/>
      <c r="BG279" s="287"/>
      <c r="BH279" s="287"/>
      <c r="BI279" s="287"/>
      <c r="BJ279" s="287"/>
      <c r="BK279" s="287"/>
      <c r="BL279" s="287"/>
      <c r="BM279" s="287"/>
      <c r="BN279" s="287"/>
      <c r="BO279" s="287"/>
      <c r="BP279" s="287"/>
      <c r="BQ279" s="287"/>
      <c r="BR279" s="287"/>
      <c r="BS279" s="287"/>
      <c r="BT279" s="287"/>
      <c r="BU279" s="287"/>
      <c r="BV279" s="287"/>
      <c r="BW279" s="287"/>
      <c r="BX279" s="287"/>
      <c r="BY279" s="287"/>
      <c r="BZ279" s="287"/>
      <c r="CA279" s="287"/>
      <c r="CB279" s="287"/>
      <c r="CC279" s="287"/>
      <c r="CD279" s="287"/>
      <c r="CE279" s="287"/>
      <c r="CF279" s="287"/>
      <c r="CG279" s="287"/>
      <c r="CH279" s="287"/>
      <c r="CI279" s="287"/>
      <c r="CJ279" s="287"/>
      <c r="CK279" s="287"/>
      <c r="CL279" s="287"/>
      <c r="CM279" s="287"/>
      <c r="CN279" s="287"/>
      <c r="CO279" s="287"/>
      <c r="CP279" s="287"/>
      <c r="CQ279" s="287"/>
      <c r="CR279" s="287"/>
      <c r="CS279" s="287"/>
      <c r="CT279" s="287"/>
      <c r="CU279" s="287"/>
      <c r="CV279" s="287"/>
      <c r="CW279" s="287"/>
      <c r="CX279" s="287"/>
      <c r="CY279" s="287"/>
      <c r="CZ279" s="287"/>
      <c r="DA279" s="287"/>
      <c r="DB279" s="287"/>
      <c r="DC279" s="287"/>
      <c r="DD279" s="287"/>
      <c r="DE279" s="287"/>
      <c r="DF279" s="287"/>
      <c r="DG279" s="287"/>
      <c r="DH279" s="287"/>
      <c r="DI279" s="287"/>
      <c r="DJ279" s="287"/>
      <c r="DK279" s="287"/>
      <c r="DL279" s="287"/>
      <c r="DM279" s="287"/>
      <c r="DN279" s="287"/>
      <c r="DO279" s="287"/>
      <c r="DP279" s="287"/>
    </row>
    <row r="280" spans="1:120" s="23" customFormat="1" hidden="1" x14ac:dyDescent="0.25">
      <c r="A280" s="13"/>
      <c r="B280" s="22"/>
      <c r="C280" s="110"/>
      <c r="D280" s="610"/>
      <c r="E280" s="610"/>
      <c r="F280" s="610"/>
      <c r="G280" s="109"/>
      <c r="H280" s="108"/>
      <c r="I280" s="105"/>
      <c r="M280"/>
      <c r="N280"/>
      <c r="O280" s="287"/>
      <c r="P280" s="439"/>
      <c r="Q280" s="287"/>
      <c r="R280" s="287"/>
      <c r="S280" s="287"/>
      <c r="T280" s="287"/>
      <c r="U280" s="287"/>
      <c r="V280" s="287"/>
      <c r="W280" s="287"/>
      <c r="X280" s="287"/>
      <c r="Y280" s="287"/>
      <c r="Z280" s="287"/>
      <c r="AA280" s="287"/>
      <c r="AB280" s="287"/>
      <c r="AC280" s="287"/>
      <c r="AD280" s="287"/>
      <c r="AE280" s="287"/>
      <c r="AF280" s="287"/>
      <c r="AG280" s="287"/>
      <c r="AH280" s="287"/>
      <c r="AI280" s="287"/>
      <c r="AJ280" s="287"/>
      <c r="AK280" s="287"/>
      <c r="AL280" s="287"/>
      <c r="AM280" s="287"/>
      <c r="AN280" s="287"/>
      <c r="AO280" s="287"/>
      <c r="AP280" s="287"/>
      <c r="AQ280" s="287"/>
      <c r="AR280" s="287"/>
      <c r="AS280" s="287"/>
      <c r="AT280" s="287"/>
      <c r="AU280" s="287"/>
      <c r="AV280" s="287"/>
      <c r="AW280" s="287"/>
      <c r="AX280" s="287"/>
      <c r="AY280" s="287"/>
      <c r="AZ280" s="287"/>
      <c r="BA280" s="287"/>
      <c r="BB280" s="287"/>
      <c r="BC280" s="287"/>
      <c r="BD280" s="287"/>
      <c r="BE280" s="287"/>
      <c r="BF280" s="287"/>
      <c r="BG280" s="287"/>
      <c r="BH280" s="287"/>
      <c r="BI280" s="287"/>
      <c r="BJ280" s="287"/>
      <c r="BK280" s="287"/>
      <c r="BL280" s="287"/>
      <c r="BM280" s="287"/>
      <c r="BN280" s="287"/>
      <c r="BO280" s="287"/>
      <c r="BP280" s="287"/>
      <c r="BQ280" s="287"/>
      <c r="BR280" s="287"/>
      <c r="BS280" s="287"/>
      <c r="BT280" s="287"/>
      <c r="BU280" s="287"/>
      <c r="BV280" s="287"/>
      <c r="BW280" s="287"/>
      <c r="BX280" s="287"/>
      <c r="BY280" s="287"/>
      <c r="BZ280" s="287"/>
      <c r="CA280" s="287"/>
      <c r="CB280" s="287"/>
      <c r="CC280" s="287"/>
      <c r="CD280" s="287"/>
      <c r="CE280" s="287"/>
      <c r="CF280" s="287"/>
      <c r="CG280" s="287"/>
      <c r="CH280" s="287"/>
      <c r="CI280" s="287"/>
      <c r="CJ280" s="287"/>
      <c r="CK280" s="287"/>
      <c r="CL280" s="287"/>
      <c r="CM280" s="287"/>
      <c r="CN280" s="287"/>
      <c r="CO280" s="287"/>
      <c r="CP280" s="287"/>
      <c r="CQ280" s="287"/>
      <c r="CR280" s="287"/>
      <c r="CS280" s="287"/>
      <c r="CT280" s="287"/>
      <c r="CU280" s="287"/>
      <c r="CV280" s="287"/>
      <c r="CW280" s="287"/>
      <c r="CX280" s="287"/>
      <c r="CY280" s="287"/>
      <c r="CZ280" s="287"/>
      <c r="DA280" s="287"/>
      <c r="DB280" s="287"/>
      <c r="DC280" s="287"/>
      <c r="DD280" s="287"/>
      <c r="DE280" s="287"/>
      <c r="DF280" s="287"/>
      <c r="DG280" s="287"/>
      <c r="DH280" s="287"/>
      <c r="DI280" s="287"/>
      <c r="DJ280" s="287"/>
      <c r="DK280" s="287"/>
      <c r="DL280" s="287"/>
      <c r="DM280" s="287"/>
      <c r="DN280" s="287"/>
      <c r="DO280" s="287"/>
      <c r="DP280" s="287"/>
    </row>
    <row r="281" spans="1:120" s="101" customFormat="1" hidden="1" x14ac:dyDescent="0.25">
      <c r="A281" s="13"/>
      <c r="B281" s="19"/>
      <c r="C281" s="110"/>
      <c r="D281" s="610"/>
      <c r="E281" s="610"/>
      <c r="F281" s="610"/>
      <c r="G281" s="109"/>
      <c r="H281" s="108"/>
      <c r="I281" s="105"/>
      <c r="O281" s="287"/>
      <c r="P281" s="439"/>
      <c r="Q281" s="287"/>
      <c r="R281" s="287"/>
      <c r="S281" s="287"/>
      <c r="T281" s="287"/>
      <c r="U281" s="287"/>
      <c r="V281" s="287"/>
      <c r="W281" s="287"/>
      <c r="X281" s="287"/>
      <c r="Y281" s="287"/>
      <c r="Z281" s="287"/>
      <c r="AA281" s="287"/>
      <c r="AB281" s="287"/>
      <c r="AC281" s="287"/>
      <c r="AD281" s="287"/>
      <c r="AE281" s="287"/>
      <c r="AF281" s="287"/>
      <c r="AG281" s="287"/>
      <c r="AH281" s="287"/>
      <c r="AI281" s="287"/>
      <c r="AJ281" s="287"/>
      <c r="AK281" s="287"/>
      <c r="AL281" s="287"/>
      <c r="AM281" s="287"/>
      <c r="AN281" s="287"/>
      <c r="AO281" s="287"/>
      <c r="AP281" s="287"/>
      <c r="AQ281" s="287"/>
      <c r="AR281" s="287"/>
      <c r="AS281" s="287"/>
      <c r="AT281" s="287"/>
      <c r="AU281" s="287"/>
      <c r="AV281" s="287"/>
      <c r="AW281" s="287"/>
      <c r="AX281" s="287"/>
      <c r="AY281" s="287"/>
      <c r="AZ281" s="287"/>
      <c r="BA281" s="287"/>
      <c r="BB281" s="287"/>
      <c r="BC281" s="287"/>
      <c r="BD281" s="287"/>
      <c r="BE281" s="287"/>
      <c r="BF281" s="287"/>
      <c r="BG281" s="287"/>
      <c r="BH281" s="287"/>
      <c r="BI281" s="287"/>
      <c r="BJ281" s="287"/>
      <c r="BK281" s="287"/>
      <c r="BL281" s="287"/>
      <c r="BM281" s="287"/>
      <c r="BN281" s="287"/>
      <c r="BO281" s="287"/>
      <c r="BP281" s="287"/>
      <c r="BQ281" s="287"/>
      <c r="BR281" s="287"/>
      <c r="BS281" s="287"/>
      <c r="BT281" s="287"/>
      <c r="BU281" s="287"/>
      <c r="BV281" s="287"/>
      <c r="BW281" s="287"/>
      <c r="BX281" s="287"/>
      <c r="BY281" s="287"/>
      <c r="BZ281" s="287"/>
      <c r="CA281" s="287"/>
      <c r="CB281" s="287"/>
      <c r="CC281" s="287"/>
      <c r="CD281" s="287"/>
      <c r="CE281" s="287"/>
      <c r="CF281" s="287"/>
      <c r="CG281" s="287"/>
      <c r="CH281" s="287"/>
      <c r="CI281" s="287"/>
      <c r="CJ281" s="287"/>
      <c r="CK281" s="287"/>
      <c r="CL281" s="287"/>
      <c r="CM281" s="287"/>
      <c r="CN281" s="287"/>
      <c r="CO281" s="287"/>
      <c r="CP281" s="287"/>
      <c r="CQ281" s="287"/>
      <c r="CR281" s="287"/>
      <c r="CS281" s="287"/>
      <c r="CT281" s="287"/>
      <c r="CU281" s="287"/>
      <c r="CV281" s="287"/>
      <c r="CW281" s="287"/>
      <c r="CX281" s="287"/>
      <c r="CY281" s="287"/>
      <c r="CZ281" s="287"/>
      <c r="DA281" s="287"/>
      <c r="DB281" s="287"/>
      <c r="DC281" s="287"/>
      <c r="DD281" s="287"/>
      <c r="DE281" s="287"/>
      <c r="DF281" s="287"/>
      <c r="DG281" s="287"/>
      <c r="DH281" s="287"/>
      <c r="DI281" s="287"/>
      <c r="DJ281" s="287"/>
      <c r="DK281" s="287"/>
      <c r="DL281" s="287"/>
      <c r="DM281" s="287"/>
      <c r="DN281" s="287"/>
      <c r="DO281" s="287"/>
      <c r="DP281" s="287"/>
    </row>
    <row r="282" spans="1:120" s="101" customFormat="1" hidden="1" x14ac:dyDescent="0.25">
      <c r="A282" s="13"/>
      <c r="B282" s="22"/>
      <c r="C282" s="110"/>
      <c r="D282" s="610"/>
      <c r="E282" s="610"/>
      <c r="F282" s="610"/>
      <c r="G282" s="109"/>
      <c r="H282" s="108"/>
      <c r="I282" s="105"/>
      <c r="O282" s="287"/>
      <c r="P282" s="439"/>
      <c r="Q282" s="287"/>
      <c r="R282" s="287"/>
      <c r="S282" s="287"/>
      <c r="T282" s="287"/>
      <c r="U282" s="287"/>
      <c r="V282" s="287"/>
      <c r="W282" s="287"/>
      <c r="X282" s="287"/>
      <c r="Y282" s="287"/>
      <c r="Z282" s="287"/>
      <c r="AA282" s="287"/>
      <c r="AB282" s="287"/>
      <c r="AC282" s="287"/>
      <c r="AD282" s="287"/>
      <c r="AE282" s="287"/>
      <c r="AF282" s="287"/>
      <c r="AG282" s="287"/>
      <c r="AH282" s="287"/>
      <c r="AI282" s="287"/>
      <c r="AJ282" s="287"/>
      <c r="AK282" s="287"/>
      <c r="AL282" s="287"/>
      <c r="AM282" s="287"/>
      <c r="AN282" s="287"/>
      <c r="AO282" s="287"/>
      <c r="AP282" s="287"/>
      <c r="AQ282" s="287"/>
      <c r="AR282" s="287"/>
      <c r="AS282" s="287"/>
      <c r="AT282" s="287"/>
      <c r="AU282" s="287"/>
      <c r="AV282" s="287"/>
      <c r="AW282" s="287"/>
      <c r="AX282" s="287"/>
      <c r="AY282" s="287"/>
      <c r="AZ282" s="287"/>
      <c r="BA282" s="287"/>
      <c r="BB282" s="287"/>
      <c r="BC282" s="287"/>
      <c r="BD282" s="287"/>
      <c r="BE282" s="287"/>
      <c r="BF282" s="287"/>
      <c r="BG282" s="287"/>
      <c r="BH282" s="287"/>
      <c r="BI282" s="287"/>
      <c r="BJ282" s="287"/>
      <c r="BK282" s="287"/>
      <c r="BL282" s="287"/>
      <c r="BM282" s="287"/>
      <c r="BN282" s="287"/>
      <c r="BO282" s="287"/>
      <c r="BP282" s="287"/>
      <c r="BQ282" s="287"/>
      <c r="BR282" s="287"/>
      <c r="BS282" s="287"/>
      <c r="BT282" s="287"/>
      <c r="BU282" s="287"/>
      <c r="BV282" s="287"/>
      <c r="BW282" s="287"/>
      <c r="BX282" s="287"/>
      <c r="BY282" s="287"/>
      <c r="BZ282" s="287"/>
      <c r="CA282" s="287"/>
      <c r="CB282" s="287"/>
      <c r="CC282" s="287"/>
      <c r="CD282" s="287"/>
      <c r="CE282" s="287"/>
      <c r="CF282" s="287"/>
      <c r="CG282" s="287"/>
      <c r="CH282" s="287"/>
      <c r="CI282" s="287"/>
      <c r="CJ282" s="287"/>
      <c r="CK282" s="287"/>
      <c r="CL282" s="287"/>
      <c r="CM282" s="287"/>
      <c r="CN282" s="287"/>
      <c r="CO282" s="287"/>
      <c r="CP282" s="287"/>
      <c r="CQ282" s="287"/>
      <c r="CR282" s="287"/>
      <c r="CS282" s="287"/>
      <c r="CT282" s="287"/>
      <c r="CU282" s="287"/>
      <c r="CV282" s="287"/>
      <c r="CW282" s="287"/>
      <c r="CX282" s="287"/>
      <c r="CY282" s="287"/>
      <c r="CZ282" s="287"/>
      <c r="DA282" s="287"/>
      <c r="DB282" s="287"/>
      <c r="DC282" s="287"/>
      <c r="DD282" s="287"/>
      <c r="DE282" s="287"/>
      <c r="DF282" s="287"/>
      <c r="DG282" s="287"/>
      <c r="DH282" s="287"/>
      <c r="DI282" s="287"/>
      <c r="DJ282" s="287"/>
      <c r="DK282" s="287"/>
      <c r="DL282" s="287"/>
      <c r="DM282" s="287"/>
      <c r="DN282" s="287"/>
      <c r="DO282" s="287"/>
      <c r="DP282" s="287"/>
    </row>
    <row r="283" spans="1:120" s="23" customFormat="1" hidden="1" x14ac:dyDescent="0.25">
      <c r="A283" s="13"/>
      <c r="C283" s="96"/>
      <c r="D283" s="96"/>
      <c r="E283" s="96"/>
      <c r="F283" s="96"/>
      <c r="G283" s="96"/>
      <c r="H283" s="96"/>
      <c r="I283" s="96"/>
      <c r="J283" s="96"/>
      <c r="K283" s="96"/>
      <c r="L283" s="96"/>
      <c r="M283" s="96"/>
      <c r="O283" s="287"/>
      <c r="P283" s="439"/>
      <c r="Q283" s="287"/>
      <c r="R283" s="287"/>
      <c r="S283" s="287"/>
      <c r="T283" s="287"/>
      <c r="U283" s="287"/>
      <c r="V283" s="287"/>
      <c r="W283" s="287"/>
      <c r="X283" s="287"/>
      <c r="Y283" s="287"/>
      <c r="Z283" s="287"/>
      <c r="AA283" s="287"/>
      <c r="AB283" s="287"/>
      <c r="AC283" s="287"/>
      <c r="AD283" s="287"/>
      <c r="AE283" s="287"/>
      <c r="AF283" s="287"/>
      <c r="AG283" s="287"/>
      <c r="AH283" s="287"/>
      <c r="AI283" s="287"/>
      <c r="AJ283" s="287"/>
      <c r="AK283" s="287"/>
      <c r="AL283" s="287"/>
      <c r="AM283" s="287"/>
      <c r="AN283" s="287"/>
      <c r="AO283" s="287"/>
      <c r="AP283" s="287"/>
      <c r="AQ283" s="287"/>
      <c r="AR283" s="287"/>
      <c r="AS283" s="287"/>
      <c r="AT283" s="287"/>
      <c r="AU283" s="287"/>
      <c r="AV283" s="287"/>
      <c r="AW283" s="287"/>
      <c r="AX283" s="287"/>
      <c r="AY283" s="287"/>
      <c r="AZ283" s="287"/>
      <c r="BA283" s="287"/>
      <c r="BB283" s="287"/>
      <c r="BC283" s="287"/>
      <c r="BD283" s="287"/>
      <c r="BE283" s="287"/>
      <c r="BF283" s="287"/>
      <c r="BG283" s="287"/>
      <c r="BH283" s="287"/>
      <c r="BI283" s="287"/>
      <c r="BJ283" s="287"/>
      <c r="BK283" s="287"/>
      <c r="BL283" s="287"/>
      <c r="BM283" s="287"/>
      <c r="BN283" s="287"/>
      <c r="BO283" s="287"/>
      <c r="BP283" s="287"/>
      <c r="BQ283" s="287"/>
      <c r="BR283" s="287"/>
      <c r="BS283" s="287"/>
      <c r="BT283" s="287"/>
      <c r="BU283" s="287"/>
      <c r="BV283" s="287"/>
      <c r="BW283" s="287"/>
      <c r="BX283" s="287"/>
      <c r="BY283" s="287"/>
      <c r="BZ283" s="287"/>
      <c r="CA283" s="287"/>
      <c r="CB283" s="287"/>
      <c r="CC283" s="287"/>
      <c r="CD283" s="287"/>
      <c r="CE283" s="287"/>
      <c r="CF283" s="287"/>
      <c r="CG283" s="287"/>
      <c r="CH283" s="287"/>
      <c r="CI283" s="287"/>
      <c r="CJ283" s="287"/>
      <c r="CK283" s="287"/>
      <c r="CL283" s="287"/>
      <c r="CM283" s="287"/>
      <c r="CN283" s="287"/>
      <c r="CO283" s="287"/>
      <c r="CP283" s="287"/>
      <c r="CQ283" s="287"/>
      <c r="CR283" s="287"/>
      <c r="CS283" s="287"/>
      <c r="CT283" s="287"/>
      <c r="CU283" s="287"/>
      <c r="CV283" s="287"/>
      <c r="CW283" s="287"/>
      <c r="CX283" s="287"/>
      <c r="CY283" s="287"/>
      <c r="CZ283" s="287"/>
      <c r="DA283" s="287"/>
      <c r="DB283" s="287"/>
      <c r="DC283" s="287"/>
      <c r="DD283" s="287"/>
      <c r="DE283" s="287"/>
      <c r="DF283" s="287"/>
      <c r="DG283" s="287"/>
      <c r="DH283" s="287"/>
      <c r="DI283" s="287"/>
      <c r="DJ283" s="287"/>
      <c r="DK283" s="287"/>
      <c r="DL283" s="287"/>
      <c r="DM283" s="287"/>
      <c r="DN283" s="287"/>
      <c r="DO283" s="287"/>
      <c r="DP283" s="287"/>
    </row>
    <row r="284" spans="1:120" s="202" customFormat="1" hidden="1" x14ac:dyDescent="0.25">
      <c r="A284" s="13"/>
      <c r="O284" s="287"/>
      <c r="P284" s="439"/>
      <c r="Q284" s="287"/>
      <c r="R284" s="287"/>
      <c r="S284" s="287"/>
      <c r="T284" s="287"/>
      <c r="U284" s="287"/>
      <c r="V284" s="287"/>
      <c r="W284" s="287"/>
      <c r="X284" s="287"/>
      <c r="Y284" s="287"/>
      <c r="Z284" s="287"/>
      <c r="AA284" s="287"/>
      <c r="AB284" s="287"/>
      <c r="AC284" s="287"/>
      <c r="AD284" s="287"/>
      <c r="AE284" s="287"/>
      <c r="AF284" s="287"/>
      <c r="AG284" s="287"/>
      <c r="AH284" s="287"/>
      <c r="AI284" s="287"/>
      <c r="AJ284" s="287"/>
      <c r="AK284" s="287"/>
      <c r="AL284" s="287"/>
      <c r="AM284" s="287"/>
      <c r="AN284" s="287"/>
      <c r="AO284" s="287"/>
      <c r="AP284" s="287"/>
      <c r="AQ284" s="287"/>
      <c r="AR284" s="287"/>
      <c r="AS284" s="287"/>
      <c r="AT284" s="287"/>
      <c r="AU284" s="287"/>
      <c r="AV284" s="287"/>
      <c r="AW284" s="287"/>
      <c r="AX284" s="287"/>
      <c r="AY284" s="287"/>
      <c r="AZ284" s="287"/>
      <c r="BA284" s="287"/>
      <c r="BB284" s="287"/>
      <c r="BC284" s="287"/>
      <c r="BD284" s="287"/>
      <c r="BE284" s="287"/>
      <c r="BF284" s="287"/>
      <c r="BG284" s="287"/>
      <c r="BH284" s="287"/>
      <c r="BI284" s="287"/>
      <c r="BJ284" s="287"/>
      <c r="BK284" s="287"/>
      <c r="BL284" s="287"/>
      <c r="BM284" s="287"/>
      <c r="BN284" s="287"/>
      <c r="BO284" s="287"/>
      <c r="BP284" s="287"/>
      <c r="BQ284" s="287"/>
      <c r="BR284" s="287"/>
      <c r="BS284" s="287"/>
      <c r="BT284" s="287"/>
      <c r="BU284" s="287"/>
      <c r="BV284" s="287"/>
      <c r="BW284" s="287"/>
      <c r="BX284" s="287"/>
      <c r="BY284" s="287"/>
      <c r="BZ284" s="287"/>
      <c r="CA284" s="287"/>
      <c r="CB284" s="287"/>
      <c r="CC284" s="287"/>
      <c r="CD284" s="287"/>
      <c r="CE284" s="287"/>
      <c r="CF284" s="287"/>
      <c r="CG284" s="287"/>
      <c r="CH284" s="287"/>
      <c r="CI284" s="287"/>
      <c r="CJ284" s="287"/>
      <c r="CK284" s="287"/>
      <c r="CL284" s="287"/>
      <c r="CM284" s="287"/>
      <c r="CN284" s="287"/>
      <c r="CO284" s="287"/>
      <c r="CP284" s="287"/>
      <c r="CQ284" s="287"/>
      <c r="CR284" s="287"/>
      <c r="CS284" s="287"/>
      <c r="CT284" s="287"/>
      <c r="CU284" s="287"/>
      <c r="CV284" s="287"/>
      <c r="CW284" s="287"/>
      <c r="CX284" s="287"/>
      <c r="CY284" s="287"/>
      <c r="CZ284" s="287"/>
      <c r="DA284" s="287"/>
      <c r="DB284" s="287"/>
      <c r="DC284" s="287"/>
      <c r="DD284" s="287"/>
      <c r="DE284" s="287"/>
      <c r="DF284" s="287"/>
      <c r="DG284" s="287"/>
      <c r="DH284" s="287"/>
      <c r="DI284" s="287"/>
      <c r="DJ284" s="287"/>
      <c r="DK284" s="287"/>
      <c r="DL284" s="287"/>
      <c r="DM284" s="287"/>
      <c r="DN284" s="287"/>
      <c r="DO284" s="287"/>
      <c r="DP284" s="287"/>
    </row>
    <row r="285" spans="1:120" s="199" customFormat="1" hidden="1" x14ac:dyDescent="0.25">
      <c r="A285" s="13"/>
      <c r="O285" s="287"/>
      <c r="P285" s="439"/>
      <c r="Q285" s="287"/>
      <c r="R285" s="287"/>
      <c r="S285" s="287"/>
      <c r="T285" s="287"/>
      <c r="U285" s="287"/>
      <c r="V285" s="287"/>
      <c r="W285" s="287"/>
      <c r="X285" s="287"/>
      <c r="Y285" s="287"/>
      <c r="Z285" s="287"/>
      <c r="AA285" s="287"/>
      <c r="AB285" s="287"/>
      <c r="AC285" s="287"/>
      <c r="AD285" s="287"/>
      <c r="AE285" s="287"/>
      <c r="AF285" s="287"/>
      <c r="AG285" s="287"/>
      <c r="AH285" s="287"/>
      <c r="AI285" s="287"/>
      <c r="AJ285" s="287"/>
      <c r="AK285" s="287"/>
      <c r="AL285" s="287"/>
      <c r="AM285" s="287"/>
      <c r="AN285" s="287"/>
      <c r="AO285" s="287"/>
      <c r="AP285" s="287"/>
      <c r="AQ285" s="287"/>
      <c r="AR285" s="287"/>
      <c r="AS285" s="287"/>
      <c r="AT285" s="287"/>
      <c r="AU285" s="287"/>
      <c r="AV285" s="287"/>
      <c r="AW285" s="287"/>
      <c r="AX285" s="287"/>
      <c r="AY285" s="287"/>
      <c r="AZ285" s="287"/>
      <c r="BA285" s="287"/>
      <c r="BB285" s="287"/>
      <c r="BC285" s="287"/>
      <c r="BD285" s="287"/>
      <c r="BE285" s="287"/>
      <c r="BF285" s="287"/>
      <c r="BG285" s="287"/>
      <c r="BH285" s="287"/>
      <c r="BI285" s="287"/>
      <c r="BJ285" s="287"/>
      <c r="BK285" s="287"/>
      <c r="BL285" s="287"/>
      <c r="BM285" s="287"/>
      <c r="BN285" s="287"/>
      <c r="BO285" s="287"/>
      <c r="BP285" s="287"/>
      <c r="BQ285" s="287"/>
      <c r="BR285" s="287"/>
      <c r="BS285" s="287"/>
      <c r="BT285" s="287"/>
      <c r="BU285" s="287"/>
      <c r="BV285" s="287"/>
      <c r="BW285" s="287"/>
      <c r="BX285" s="287"/>
      <c r="BY285" s="287"/>
      <c r="BZ285" s="287"/>
      <c r="CA285" s="287"/>
      <c r="CB285" s="287"/>
      <c r="CC285" s="287"/>
      <c r="CD285" s="287"/>
      <c r="CE285" s="287"/>
      <c r="CF285" s="287"/>
      <c r="CG285" s="287"/>
      <c r="CH285" s="287"/>
      <c r="CI285" s="287"/>
      <c r="CJ285" s="287"/>
      <c r="CK285" s="287"/>
      <c r="CL285" s="287"/>
      <c r="CM285" s="287"/>
      <c r="CN285" s="287"/>
      <c r="CO285" s="287"/>
      <c r="CP285" s="287"/>
      <c r="CQ285" s="287"/>
      <c r="CR285" s="287"/>
      <c r="CS285" s="287"/>
      <c r="CT285" s="287"/>
      <c r="CU285" s="287"/>
      <c r="CV285" s="287"/>
      <c r="CW285" s="287"/>
      <c r="CX285" s="287"/>
      <c r="CY285" s="287"/>
      <c r="CZ285" s="287"/>
      <c r="DA285" s="287"/>
      <c r="DB285" s="287"/>
      <c r="DC285" s="287"/>
      <c r="DD285" s="287"/>
      <c r="DE285" s="287"/>
      <c r="DF285" s="287"/>
      <c r="DG285" s="287"/>
      <c r="DH285" s="287"/>
      <c r="DI285" s="287"/>
      <c r="DJ285" s="287"/>
      <c r="DK285" s="287"/>
      <c r="DL285" s="287"/>
      <c r="DM285" s="287"/>
      <c r="DN285" s="287"/>
      <c r="DO285" s="287"/>
      <c r="DP285" s="287"/>
    </row>
    <row r="286" spans="1:120" x14ac:dyDescent="0.25">
      <c r="C286" s="20">
        <f>$D$16</f>
        <v>0</v>
      </c>
      <c r="D286" s="618">
        <f>$D$18</f>
        <v>0</v>
      </c>
      <c r="E286" s="618"/>
      <c r="F286" s="618"/>
      <c r="G286" s="618"/>
      <c r="H286" s="618"/>
      <c r="I286" s="618"/>
      <c r="J286" s="618"/>
      <c r="K286" s="618"/>
      <c r="L286" s="23"/>
      <c r="M286" s="23"/>
      <c r="O286" s="287"/>
      <c r="P286" s="439"/>
      <c r="Q286" s="287"/>
      <c r="R286" s="287"/>
      <c r="S286" s="287"/>
      <c r="T286" s="287"/>
      <c r="U286" s="287"/>
      <c r="V286" s="287"/>
      <c r="W286" s="287"/>
      <c r="X286" s="287"/>
      <c r="Y286" s="287"/>
      <c r="Z286" s="287"/>
      <c r="AA286" s="287"/>
      <c r="AB286" s="287"/>
      <c r="AC286" s="287"/>
      <c r="AD286" s="287"/>
      <c r="AE286" s="287"/>
      <c r="AF286" s="287"/>
      <c r="AG286" s="287"/>
      <c r="AH286" s="287"/>
      <c r="AI286" s="287"/>
      <c r="AJ286" s="287"/>
      <c r="AK286" s="287"/>
      <c r="AL286" s="287"/>
      <c r="AM286" s="287"/>
      <c r="AN286" s="287"/>
      <c r="AO286" s="287"/>
      <c r="AP286" s="287"/>
      <c r="AQ286" s="287"/>
      <c r="AR286" s="287"/>
      <c r="AS286" s="287"/>
      <c r="AT286" s="287"/>
      <c r="AU286" s="287"/>
      <c r="AV286" s="287"/>
      <c r="AW286" s="287"/>
      <c r="AX286" s="287"/>
      <c r="AY286" s="287"/>
      <c r="AZ286" s="287"/>
      <c r="BA286" s="287"/>
      <c r="BB286" s="287"/>
      <c r="BC286" s="287"/>
      <c r="BD286" s="287"/>
      <c r="BE286" s="287"/>
      <c r="BF286" s="287"/>
      <c r="BG286" s="287"/>
      <c r="BH286" s="287"/>
      <c r="BI286" s="287"/>
      <c r="BJ286" s="287"/>
      <c r="BK286" s="287"/>
      <c r="BL286" s="287"/>
      <c r="BM286" s="287"/>
      <c r="BN286" s="287"/>
      <c r="BO286" s="287"/>
      <c r="BP286" s="287"/>
      <c r="BQ286" s="287"/>
      <c r="BR286" s="287"/>
      <c r="BS286" s="287"/>
      <c r="BT286" s="287"/>
      <c r="BU286" s="287"/>
      <c r="BV286" s="287"/>
      <c r="BW286" s="287"/>
      <c r="BX286" s="287"/>
      <c r="BY286" s="287"/>
      <c r="BZ286" s="287"/>
      <c r="CA286" s="287"/>
      <c r="CB286" s="287"/>
      <c r="CC286" s="287"/>
      <c r="CD286" s="287"/>
      <c r="CE286" s="287"/>
      <c r="CF286" s="287"/>
      <c r="CG286" s="287"/>
      <c r="CH286" s="287"/>
      <c r="CI286" s="287"/>
      <c r="CJ286" s="287"/>
      <c r="CK286" s="287"/>
      <c r="CL286" s="287"/>
      <c r="CM286" s="287"/>
      <c r="CN286" s="287"/>
      <c r="CO286" s="287"/>
      <c r="CP286" s="287"/>
      <c r="CQ286" s="287"/>
      <c r="CR286" s="287"/>
      <c r="CS286" s="287"/>
      <c r="CT286" s="287"/>
      <c r="CU286" s="287"/>
      <c r="CV286" s="287"/>
      <c r="CW286" s="287"/>
      <c r="CX286" s="287"/>
      <c r="CY286" s="287"/>
      <c r="CZ286" s="287"/>
      <c r="DA286" s="287"/>
      <c r="DB286" s="287"/>
      <c r="DC286" s="287"/>
      <c r="DD286" s="287"/>
      <c r="DE286" s="287"/>
      <c r="DF286" s="287"/>
      <c r="DG286" s="287"/>
      <c r="DH286" s="287"/>
      <c r="DI286" s="287"/>
      <c r="DJ286" s="287"/>
      <c r="DK286" s="287"/>
      <c r="DL286" s="287"/>
      <c r="DM286" s="287"/>
      <c r="DN286" s="287"/>
      <c r="DO286" s="287"/>
      <c r="DP286" s="287"/>
    </row>
    <row r="287" spans="1:120" s="23" customFormat="1" x14ac:dyDescent="0.25">
      <c r="A287" s="13"/>
      <c r="O287" s="287"/>
      <c r="P287" s="439"/>
      <c r="Q287" s="287"/>
      <c r="R287" s="287"/>
      <c r="S287" s="287"/>
      <c r="T287" s="287"/>
      <c r="U287" s="287"/>
      <c r="V287" s="287"/>
      <c r="W287" s="287"/>
      <c r="X287" s="287"/>
      <c r="Y287" s="287"/>
      <c r="Z287" s="287"/>
      <c r="AA287" s="287"/>
      <c r="AB287" s="287"/>
      <c r="AC287" s="287"/>
      <c r="AD287" s="287"/>
      <c r="AE287" s="287"/>
      <c r="AF287" s="287"/>
      <c r="AG287" s="287"/>
      <c r="AH287" s="287"/>
      <c r="AI287" s="287"/>
      <c r="AJ287" s="287"/>
      <c r="AK287" s="287"/>
      <c r="AL287" s="287"/>
      <c r="AM287" s="287"/>
      <c r="AN287" s="287"/>
      <c r="AO287" s="287"/>
      <c r="AP287" s="287"/>
      <c r="AQ287" s="287"/>
      <c r="AR287" s="287"/>
      <c r="AS287" s="287"/>
      <c r="AT287" s="287"/>
      <c r="AU287" s="287"/>
      <c r="AV287" s="287"/>
      <c r="AW287" s="287"/>
      <c r="AX287" s="287"/>
      <c r="AY287" s="287"/>
      <c r="AZ287" s="287"/>
      <c r="BA287" s="287"/>
      <c r="BB287" s="287"/>
      <c r="BC287" s="287"/>
      <c r="BD287" s="287"/>
      <c r="BE287" s="287"/>
      <c r="BF287" s="287"/>
      <c r="BG287" s="287"/>
      <c r="BH287" s="287"/>
      <c r="BI287" s="287"/>
      <c r="BJ287" s="287"/>
      <c r="BK287" s="287"/>
      <c r="BL287" s="287"/>
      <c r="BM287" s="287"/>
      <c r="BN287" s="287"/>
      <c r="BO287" s="287"/>
      <c r="BP287" s="287"/>
      <c r="BQ287" s="287"/>
      <c r="BR287" s="287"/>
      <c r="BS287" s="287"/>
      <c r="BT287" s="287"/>
      <c r="BU287" s="287"/>
      <c r="BV287" s="287"/>
      <c r="BW287" s="287"/>
      <c r="BX287" s="287"/>
      <c r="BY287" s="287"/>
      <c r="BZ287" s="287"/>
      <c r="CA287" s="287"/>
      <c r="CB287" s="287"/>
      <c r="CC287" s="287"/>
      <c r="CD287" s="287"/>
      <c r="CE287" s="287"/>
      <c r="CF287" s="287"/>
      <c r="CG287" s="287"/>
      <c r="CH287" s="287"/>
      <c r="CI287" s="287"/>
      <c r="CJ287" s="287"/>
      <c r="CK287" s="287"/>
      <c r="CL287" s="287"/>
      <c r="CM287" s="287"/>
      <c r="CN287" s="287"/>
      <c r="CO287" s="287"/>
      <c r="CP287" s="287"/>
      <c r="CQ287" s="287"/>
      <c r="CR287" s="287"/>
      <c r="CS287" s="287"/>
      <c r="CT287" s="287"/>
      <c r="CU287" s="287"/>
      <c r="CV287" s="287"/>
      <c r="CW287" s="287"/>
      <c r="CX287" s="287"/>
      <c r="CY287" s="287"/>
      <c r="CZ287" s="287"/>
      <c r="DA287" s="287"/>
      <c r="DB287" s="287"/>
      <c r="DC287" s="287"/>
      <c r="DD287" s="287"/>
      <c r="DE287" s="287"/>
      <c r="DF287" s="287"/>
      <c r="DG287" s="287"/>
      <c r="DH287" s="287"/>
      <c r="DI287" s="287"/>
      <c r="DJ287" s="287"/>
      <c r="DK287" s="287"/>
      <c r="DL287" s="287"/>
      <c r="DM287" s="287"/>
      <c r="DN287" s="287"/>
      <c r="DO287" s="287"/>
      <c r="DP287" s="287"/>
    </row>
    <row r="288" spans="1:120" s="115" customFormat="1" ht="18" x14ac:dyDescent="0.25">
      <c r="A288" s="13"/>
      <c r="B288" s="156" t="s">
        <v>83</v>
      </c>
      <c r="C288" s="157"/>
      <c r="D288" s="157"/>
      <c r="E288" s="157"/>
      <c r="F288" s="158"/>
      <c r="G288" s="157"/>
      <c r="H288" s="157"/>
      <c r="I288" s="157"/>
      <c r="J288" s="157"/>
      <c r="K288" s="157"/>
      <c r="L288" s="157"/>
      <c r="M288" s="157"/>
      <c r="N288" s="157"/>
      <c r="O288" s="287"/>
      <c r="P288" s="439"/>
      <c r="Q288" s="287"/>
      <c r="R288" s="287"/>
      <c r="S288" s="287"/>
      <c r="T288" s="287"/>
      <c r="U288" s="287"/>
      <c r="V288" s="287"/>
      <c r="W288" s="287"/>
      <c r="X288" s="287"/>
      <c r="Y288" s="287"/>
      <c r="Z288" s="287"/>
      <c r="AA288" s="287"/>
      <c r="AB288" s="287"/>
      <c r="AC288" s="287"/>
      <c r="AD288" s="287"/>
      <c r="AE288" s="287"/>
      <c r="AF288" s="287"/>
      <c r="AG288" s="287"/>
      <c r="AH288" s="287"/>
      <c r="AI288" s="287"/>
      <c r="AJ288" s="287"/>
      <c r="AK288" s="287"/>
      <c r="AL288" s="287"/>
      <c r="AM288" s="287"/>
      <c r="AN288" s="287"/>
      <c r="AO288" s="287"/>
      <c r="AP288" s="287"/>
      <c r="AQ288" s="287"/>
      <c r="AR288" s="287"/>
      <c r="AS288" s="287"/>
      <c r="AT288" s="287"/>
      <c r="AU288" s="287"/>
      <c r="AV288" s="287"/>
      <c r="AW288" s="287"/>
      <c r="AX288" s="287"/>
      <c r="AY288" s="287"/>
      <c r="AZ288" s="287"/>
      <c r="BA288" s="287"/>
      <c r="BB288" s="287"/>
      <c r="BC288" s="287"/>
      <c r="BD288" s="287"/>
      <c r="BE288" s="287"/>
      <c r="BF288" s="287"/>
      <c r="BG288" s="287"/>
      <c r="BH288" s="287"/>
      <c r="BI288" s="287"/>
      <c r="BJ288" s="287"/>
      <c r="BK288" s="287"/>
      <c r="BL288" s="287"/>
      <c r="BM288" s="287"/>
      <c r="BN288" s="287"/>
      <c r="BO288" s="287"/>
      <c r="BP288" s="287"/>
      <c r="BQ288" s="287"/>
      <c r="BR288" s="287"/>
      <c r="BS288" s="287"/>
      <c r="BT288" s="287"/>
      <c r="BU288" s="287"/>
      <c r="BV288" s="287"/>
      <c r="BW288" s="287"/>
      <c r="BX288" s="287"/>
      <c r="BY288" s="287"/>
      <c r="BZ288" s="287"/>
      <c r="CA288" s="287"/>
      <c r="CB288" s="287"/>
      <c r="CC288" s="287"/>
      <c r="CD288" s="287"/>
      <c r="CE288" s="287"/>
      <c r="CF288" s="287"/>
      <c r="CG288" s="287"/>
      <c r="CH288" s="287"/>
      <c r="CI288" s="287"/>
      <c r="CJ288" s="287"/>
      <c r="CK288" s="287"/>
      <c r="CL288" s="287"/>
      <c r="CM288" s="287"/>
      <c r="CN288" s="287"/>
      <c r="CO288" s="287"/>
      <c r="CP288" s="287"/>
      <c r="CQ288" s="287"/>
      <c r="CR288" s="287"/>
      <c r="CS288" s="287"/>
      <c r="CT288" s="287"/>
      <c r="CU288" s="287"/>
      <c r="CV288" s="287"/>
      <c r="CW288" s="287"/>
      <c r="CX288" s="287"/>
      <c r="CY288" s="287"/>
      <c r="CZ288" s="287"/>
      <c r="DA288" s="287"/>
      <c r="DB288" s="287"/>
      <c r="DC288" s="287"/>
      <c r="DD288" s="287"/>
      <c r="DE288" s="287"/>
      <c r="DF288" s="287"/>
      <c r="DG288" s="287"/>
      <c r="DH288" s="287"/>
      <c r="DI288" s="287"/>
      <c r="DJ288" s="287"/>
      <c r="DK288" s="287"/>
      <c r="DL288" s="287"/>
      <c r="DM288" s="287"/>
      <c r="DN288" s="287"/>
      <c r="DO288" s="287"/>
      <c r="DP288" s="287"/>
    </row>
    <row r="289" spans="1:120" s="216" customFormat="1" ht="27" customHeight="1" x14ac:dyDescent="0.25">
      <c r="A289" s="13"/>
      <c r="P289" s="3"/>
      <c r="X289" s="287"/>
      <c r="Y289" s="287"/>
      <c r="Z289" s="287"/>
      <c r="AA289" s="287"/>
      <c r="AB289" s="287"/>
      <c r="AC289" s="287"/>
      <c r="AD289" s="287"/>
      <c r="AE289" s="287"/>
      <c r="AF289" s="287"/>
      <c r="AG289" s="287"/>
      <c r="AH289" s="287"/>
      <c r="AI289" s="287"/>
      <c r="AJ289" s="287"/>
      <c r="AK289" s="287"/>
      <c r="AL289" s="287"/>
      <c r="AM289" s="287"/>
      <c r="AN289" s="287"/>
      <c r="AO289" s="287"/>
      <c r="AP289" s="287"/>
      <c r="AQ289" s="287"/>
      <c r="AR289" s="287"/>
      <c r="AS289" s="287"/>
      <c r="AT289" s="287"/>
      <c r="AU289" s="287"/>
      <c r="AV289" s="287"/>
      <c r="AW289" s="287"/>
      <c r="AX289" s="287"/>
      <c r="AY289" s="287"/>
      <c r="AZ289" s="287"/>
      <c r="BA289" s="287"/>
      <c r="BB289" s="287"/>
      <c r="BC289" s="287"/>
      <c r="BD289" s="287"/>
      <c r="BE289" s="287"/>
      <c r="BF289" s="287"/>
      <c r="BG289" s="287"/>
      <c r="BH289" s="287"/>
      <c r="BI289" s="287"/>
      <c r="BJ289" s="287"/>
      <c r="BK289" s="287"/>
      <c r="BL289" s="287"/>
      <c r="BM289" s="287"/>
      <c r="BN289" s="287"/>
      <c r="BO289" s="287"/>
      <c r="BP289" s="287"/>
      <c r="BQ289" s="287"/>
      <c r="BR289" s="287"/>
      <c r="BS289" s="287"/>
      <c r="BT289" s="287"/>
      <c r="BU289" s="287"/>
      <c r="BV289" s="287"/>
      <c r="BW289" s="287"/>
      <c r="BX289" s="287"/>
      <c r="BY289" s="287"/>
      <c r="BZ289" s="287"/>
      <c r="CA289" s="287"/>
      <c r="CB289" s="287"/>
      <c r="CC289" s="287"/>
      <c r="CD289" s="287"/>
      <c r="CE289" s="287"/>
      <c r="CF289" s="287"/>
      <c r="CG289" s="287"/>
      <c r="CH289" s="287"/>
      <c r="CI289" s="287"/>
      <c r="CJ289" s="287"/>
      <c r="CK289" s="287"/>
      <c r="CL289" s="287"/>
      <c r="CM289" s="287"/>
      <c r="CN289" s="287"/>
      <c r="CO289" s="287"/>
      <c r="CP289" s="287"/>
      <c r="CQ289" s="287"/>
      <c r="CR289" s="287"/>
      <c r="CS289" s="287"/>
      <c r="CT289" s="287"/>
      <c r="CU289" s="287"/>
      <c r="CV289" s="287"/>
      <c r="CW289" s="287"/>
      <c r="CX289" s="287"/>
      <c r="CY289" s="287"/>
      <c r="CZ289" s="287"/>
      <c r="DA289" s="287"/>
      <c r="DB289" s="287"/>
      <c r="DC289" s="287"/>
      <c r="DD289" s="287"/>
      <c r="DE289" s="287"/>
      <c r="DF289" s="287"/>
      <c r="DG289" s="287"/>
      <c r="DH289" s="287"/>
      <c r="DI289" s="287"/>
      <c r="DJ289" s="287"/>
      <c r="DK289" s="287"/>
      <c r="DL289" s="287"/>
      <c r="DM289" s="287"/>
      <c r="DN289" s="287"/>
      <c r="DO289" s="287"/>
      <c r="DP289" s="287"/>
    </row>
    <row r="290" spans="1:120" s="276" customFormat="1" ht="47.25" customHeight="1" x14ac:dyDescent="0.25">
      <c r="A290" s="13"/>
      <c r="B290" s="488">
        <v>1</v>
      </c>
      <c r="C290" s="569" t="str">
        <f>"Total number of clock hours of instruction per student in "&amp;D4&amp;" 
(didactic, lab, clinical, field experience, and capstone field internship)"</f>
        <v>Total number of clock hours of instruction per student in 2022 
(didactic, lab, clinical, field experience, and capstone field internship)</v>
      </c>
      <c r="D290" s="569"/>
      <c r="E290" s="569"/>
      <c r="F290" s="570"/>
      <c r="G290" s="279"/>
      <c r="H290" s="275" t="s">
        <v>71</v>
      </c>
      <c r="I290" s="611" t="str">
        <f>IF(AND(D432&lt;&gt;"",(SUM(G294,G296,G298,G300,G302)&lt;&gt;G290)),"&lt;== The combined number of hours in question 2 must equal 
        the total number of clock hours","")</f>
        <v/>
      </c>
      <c r="J290" s="611"/>
      <c r="K290" s="611"/>
      <c r="L290" s="611"/>
      <c r="M290" s="611"/>
      <c r="O290" s="221" t="str">
        <f>IF(P290=1, "&lt;===", "")</f>
        <v/>
      </c>
      <c r="P290" s="364" t="str">
        <f>IF(OR(AND(G290="",D432&lt;&gt;""),AND(G290&lt;&gt;"",SUM(G294,G296,G298,G300,G302)&gt;G290,D432&lt;&gt;"")), 1, "")</f>
        <v/>
      </c>
      <c r="X290" s="287"/>
      <c r="Y290" s="287"/>
      <c r="Z290" s="287"/>
      <c r="AA290" s="287"/>
      <c r="AB290" s="287"/>
      <c r="AC290" s="287"/>
      <c r="AD290" s="287"/>
      <c r="AE290" s="287"/>
      <c r="AF290" s="287"/>
      <c r="AG290" s="287"/>
      <c r="AH290" s="287"/>
      <c r="AI290" s="287"/>
      <c r="AJ290" s="287"/>
      <c r="AK290" s="287"/>
      <c r="AL290" s="287"/>
      <c r="AM290" s="287"/>
      <c r="AN290" s="287"/>
      <c r="AO290" s="287"/>
      <c r="AP290" s="287"/>
      <c r="AQ290" s="287"/>
      <c r="AR290" s="287"/>
      <c r="AS290" s="287"/>
      <c r="AT290" s="287"/>
      <c r="AU290" s="287"/>
      <c r="AV290" s="287"/>
      <c r="AW290" s="287"/>
      <c r="AX290" s="287"/>
      <c r="AY290" s="287"/>
      <c r="AZ290" s="287"/>
      <c r="BA290" s="287"/>
      <c r="BB290" s="287"/>
      <c r="BC290" s="287"/>
      <c r="BD290" s="287"/>
      <c r="BE290" s="287"/>
      <c r="BF290" s="287"/>
      <c r="BG290" s="287"/>
      <c r="BH290" s="287"/>
      <c r="BI290" s="287"/>
      <c r="BJ290" s="287"/>
      <c r="BK290" s="287"/>
      <c r="BL290" s="287"/>
      <c r="BM290" s="287"/>
      <c r="BN290" s="287"/>
      <c r="BO290" s="287"/>
      <c r="BP290" s="287"/>
      <c r="BQ290" s="287"/>
      <c r="BR290" s="287"/>
      <c r="BS290" s="287"/>
      <c r="BT290" s="287"/>
      <c r="BU290" s="287"/>
      <c r="BV290" s="287"/>
      <c r="BW290" s="287"/>
      <c r="BX290" s="287"/>
      <c r="BY290" s="287"/>
      <c r="BZ290" s="287"/>
      <c r="CA290" s="287"/>
      <c r="CB290" s="287"/>
      <c r="CC290" s="287"/>
      <c r="CD290" s="287"/>
      <c r="CE290" s="287"/>
      <c r="CF290" s="287"/>
      <c r="CG290" s="287"/>
      <c r="CH290" s="287"/>
      <c r="CI290" s="287"/>
      <c r="CJ290" s="287"/>
      <c r="CK290" s="287"/>
      <c r="CL290" s="287"/>
      <c r="CM290" s="287"/>
      <c r="CN290" s="287"/>
      <c r="CO290" s="287"/>
      <c r="CP290" s="287"/>
      <c r="CQ290" s="287"/>
      <c r="CR290" s="287"/>
      <c r="CS290" s="287"/>
      <c r="CT290" s="287"/>
      <c r="CU290" s="287"/>
      <c r="CV290" s="287"/>
      <c r="CW290" s="287"/>
      <c r="CX290" s="287"/>
      <c r="CY290" s="287"/>
      <c r="CZ290" s="287"/>
      <c r="DA290" s="287"/>
      <c r="DB290" s="287"/>
      <c r="DC290" s="287"/>
      <c r="DD290" s="287"/>
      <c r="DE290" s="287"/>
      <c r="DF290" s="287"/>
      <c r="DG290" s="287"/>
      <c r="DH290" s="287"/>
      <c r="DI290" s="287"/>
      <c r="DJ290" s="287"/>
      <c r="DK290" s="287"/>
      <c r="DL290" s="287"/>
      <c r="DM290" s="287"/>
      <c r="DN290" s="287"/>
      <c r="DO290" s="287"/>
      <c r="DP290" s="287"/>
    </row>
    <row r="291" spans="1:120" s="276" customFormat="1" ht="20.25" customHeight="1" x14ac:dyDescent="0.25">
      <c r="A291" s="13"/>
      <c r="P291" s="3"/>
      <c r="X291" s="287"/>
      <c r="Y291" s="287"/>
      <c r="Z291" s="287"/>
      <c r="AA291" s="287"/>
      <c r="AB291" s="287"/>
      <c r="AC291" s="287"/>
      <c r="AD291" s="287"/>
      <c r="AE291" s="287"/>
      <c r="AF291" s="287"/>
      <c r="AG291" s="287"/>
      <c r="AH291" s="287"/>
      <c r="AI291" s="287"/>
      <c r="AJ291" s="287"/>
      <c r="AK291" s="287"/>
      <c r="AL291" s="287"/>
      <c r="AM291" s="287"/>
      <c r="AN291" s="287"/>
      <c r="AO291" s="287"/>
      <c r="AP291" s="287"/>
      <c r="AQ291" s="287"/>
      <c r="AR291" s="287"/>
      <c r="AS291" s="287"/>
      <c r="AT291" s="287"/>
      <c r="AU291" s="287"/>
      <c r="AV291" s="287"/>
      <c r="AW291" s="287"/>
      <c r="AX291" s="287"/>
      <c r="AY291" s="287"/>
      <c r="AZ291" s="287"/>
      <c r="BA291" s="287"/>
      <c r="BB291" s="287"/>
      <c r="BC291" s="287"/>
      <c r="BD291" s="287"/>
      <c r="BE291" s="287"/>
      <c r="BF291" s="287"/>
      <c r="BG291" s="287"/>
      <c r="BH291" s="287"/>
      <c r="BI291" s="287"/>
      <c r="BJ291" s="287"/>
      <c r="BK291" s="287"/>
      <c r="BL291" s="287"/>
      <c r="BM291" s="287"/>
      <c r="BN291" s="287"/>
      <c r="BO291" s="287"/>
      <c r="BP291" s="287"/>
      <c r="BQ291" s="287"/>
      <c r="BR291" s="287"/>
      <c r="BS291" s="287"/>
      <c r="BT291" s="287"/>
      <c r="BU291" s="287"/>
      <c r="BV291" s="287"/>
      <c r="BW291" s="287"/>
      <c r="BX291" s="287"/>
      <c r="BY291" s="287"/>
      <c r="BZ291" s="287"/>
      <c r="CA291" s="287"/>
      <c r="CB291" s="287"/>
      <c r="CC291" s="287"/>
      <c r="CD291" s="287"/>
      <c r="CE291" s="287"/>
      <c r="CF291" s="287"/>
      <c r="CG291" s="287"/>
      <c r="CH291" s="287"/>
      <c r="CI291" s="287"/>
      <c r="CJ291" s="287"/>
      <c r="CK291" s="287"/>
      <c r="CL291" s="287"/>
      <c r="CM291" s="287"/>
      <c r="CN291" s="287"/>
      <c r="CO291" s="287"/>
      <c r="CP291" s="287"/>
      <c r="CQ291" s="287"/>
      <c r="CR291" s="287"/>
      <c r="CS291" s="287"/>
      <c r="CT291" s="287"/>
      <c r="CU291" s="287"/>
      <c r="CV291" s="287"/>
      <c r="CW291" s="287"/>
      <c r="CX291" s="287"/>
      <c r="CY291" s="287"/>
      <c r="CZ291" s="287"/>
      <c r="DA291" s="287"/>
      <c r="DB291" s="287"/>
      <c r="DC291" s="287"/>
      <c r="DD291" s="287"/>
      <c r="DE291" s="287"/>
      <c r="DF291" s="287"/>
      <c r="DG291" s="287"/>
      <c r="DH291" s="287"/>
      <c r="DI291" s="287"/>
      <c r="DJ291" s="287"/>
      <c r="DK291" s="287"/>
      <c r="DL291" s="287"/>
      <c r="DM291" s="287"/>
      <c r="DN291" s="287"/>
      <c r="DO291" s="287"/>
      <c r="DP291" s="287"/>
    </row>
    <row r="292" spans="1:120" s="276" customFormat="1" ht="35.25" customHeight="1" x14ac:dyDescent="0.25">
      <c r="A292" s="13"/>
      <c r="B292" s="277">
        <v>2</v>
      </c>
      <c r="C292" s="617" t="str">
        <f>"Number of clock hours students were required to successfully complete prior to graduation in each environment in "&amp;D4&amp;"?"</f>
        <v>Number of clock hours students were required to successfully complete prior to graduation in each environment in 2022?</v>
      </c>
      <c r="D292" s="617"/>
      <c r="E292" s="617"/>
      <c r="F292" s="617"/>
      <c r="G292" s="418"/>
      <c r="H292" s="275"/>
      <c r="O292" s="221" t="str">
        <f>IF(P292=1, "&lt;===", "")</f>
        <v/>
      </c>
      <c r="P292" s="364" t="str">
        <f>IF(AND(G292="Please Select",D458&lt;&gt;""), 1, "")</f>
        <v/>
      </c>
      <c r="X292" s="287"/>
      <c r="Y292" s="287"/>
      <c r="Z292" s="287"/>
      <c r="AA292" s="287"/>
      <c r="AB292" s="287"/>
      <c r="AC292" s="287"/>
      <c r="AD292" s="287"/>
      <c r="AE292" s="287"/>
      <c r="AF292" s="287"/>
      <c r="AG292" s="287"/>
      <c r="AH292" s="287"/>
      <c r="AI292" s="287"/>
      <c r="AJ292" s="287"/>
      <c r="AK292" s="287"/>
      <c r="AL292" s="287"/>
      <c r="AM292" s="287"/>
      <c r="AN292" s="287"/>
      <c r="AO292" s="287"/>
      <c r="AP292" s="287"/>
      <c r="AQ292" s="287"/>
      <c r="AR292" s="287"/>
      <c r="AS292" s="287"/>
      <c r="AT292" s="287"/>
      <c r="AU292" s="287"/>
      <c r="AV292" s="287"/>
      <c r="AW292" s="287"/>
      <c r="AX292" s="287"/>
      <c r="AY292" s="287"/>
      <c r="AZ292" s="287"/>
      <c r="BA292" s="287"/>
      <c r="BB292" s="287"/>
      <c r="BC292" s="287"/>
      <c r="BD292" s="287"/>
      <c r="BE292" s="287"/>
      <c r="BF292" s="287"/>
      <c r="BG292" s="287"/>
      <c r="BH292" s="287"/>
      <c r="BI292" s="287"/>
      <c r="BJ292" s="287"/>
      <c r="BK292" s="287"/>
      <c r="BL292" s="287"/>
      <c r="BM292" s="287"/>
      <c r="BN292" s="287"/>
      <c r="BO292" s="287"/>
      <c r="BP292" s="287"/>
      <c r="BQ292" s="287"/>
      <c r="BR292" s="287"/>
      <c r="BS292" s="287"/>
      <c r="BT292" s="287"/>
      <c r="BU292" s="287"/>
      <c r="BV292" s="287"/>
      <c r="BW292" s="287"/>
      <c r="BX292" s="287"/>
      <c r="BY292" s="287"/>
      <c r="BZ292" s="287"/>
      <c r="CA292" s="287"/>
      <c r="CB292" s="287"/>
      <c r="CC292" s="287"/>
      <c r="CD292" s="287"/>
      <c r="CE292" s="287"/>
      <c r="CF292" s="287"/>
      <c r="CG292" s="287"/>
      <c r="CH292" s="287"/>
      <c r="CI292" s="287"/>
      <c r="CJ292" s="287"/>
      <c r="CK292" s="287"/>
      <c r="CL292" s="287"/>
      <c r="CM292" s="287"/>
      <c r="CN292" s="287"/>
      <c r="CO292" s="287"/>
      <c r="CP292" s="287"/>
      <c r="CQ292" s="287"/>
      <c r="CR292" s="287"/>
      <c r="CS292" s="287"/>
      <c r="CT292" s="287"/>
      <c r="CU292" s="287"/>
      <c r="CV292" s="287"/>
      <c r="CW292" s="287"/>
      <c r="CX292" s="287"/>
      <c r="CY292" s="287"/>
      <c r="CZ292" s="287"/>
      <c r="DA292" s="287"/>
      <c r="DB292" s="287"/>
      <c r="DC292" s="287"/>
      <c r="DD292" s="287"/>
      <c r="DE292" s="287"/>
      <c r="DF292" s="287"/>
      <c r="DG292" s="287"/>
      <c r="DH292" s="287"/>
      <c r="DI292" s="287"/>
      <c r="DJ292" s="287"/>
      <c r="DK292" s="287"/>
      <c r="DL292" s="287"/>
      <c r="DM292" s="287"/>
      <c r="DN292" s="287"/>
      <c r="DO292" s="287"/>
      <c r="DP292" s="287"/>
    </row>
    <row r="293" spans="1:120" s="276" customFormat="1" ht="34.5" customHeight="1" x14ac:dyDescent="0.25">
      <c r="A293" s="13"/>
      <c r="D293" s="607" t="s">
        <v>146</v>
      </c>
      <c r="E293" s="607"/>
      <c r="F293" s="607"/>
      <c r="G293" s="607"/>
      <c r="H293" s="607"/>
      <c r="P293" s="3"/>
      <c r="X293" s="287"/>
      <c r="Y293" s="287"/>
      <c r="Z293" s="287"/>
      <c r="AA293" s="287"/>
      <c r="AB293" s="287"/>
      <c r="AC293" s="287"/>
      <c r="AD293" s="287"/>
      <c r="AE293" s="287"/>
      <c r="AF293" s="287"/>
      <c r="AG293" s="287"/>
      <c r="AH293" s="287"/>
      <c r="AI293" s="287"/>
      <c r="AJ293" s="287"/>
      <c r="AK293" s="287"/>
      <c r="AL293" s="287"/>
      <c r="AM293" s="287"/>
      <c r="AN293" s="287"/>
      <c r="AO293" s="287"/>
      <c r="AP293" s="287"/>
      <c r="AQ293" s="287"/>
      <c r="AR293" s="287"/>
      <c r="AS293" s="287"/>
      <c r="AT293" s="287"/>
      <c r="AU293" s="287"/>
      <c r="AV293" s="287"/>
      <c r="AW293" s="287"/>
      <c r="AX293" s="287"/>
      <c r="AY293" s="287"/>
      <c r="AZ293" s="287"/>
      <c r="BA293" s="287"/>
      <c r="BB293" s="287"/>
      <c r="BC293" s="287"/>
      <c r="BD293" s="287"/>
      <c r="BE293" s="287"/>
      <c r="BF293" s="287"/>
      <c r="BG293" s="287"/>
      <c r="BH293" s="287"/>
      <c r="BI293" s="287"/>
      <c r="BJ293" s="287"/>
      <c r="BK293" s="287"/>
      <c r="BL293" s="287"/>
      <c r="BM293" s="287"/>
      <c r="BN293" s="287"/>
      <c r="BO293" s="287"/>
      <c r="BP293" s="287"/>
      <c r="BQ293" s="287"/>
      <c r="BR293" s="287"/>
      <c r="BS293" s="287"/>
      <c r="BT293" s="287"/>
      <c r="BU293" s="287"/>
      <c r="BV293" s="287"/>
      <c r="BW293" s="287"/>
      <c r="BX293" s="287"/>
      <c r="BY293" s="287"/>
      <c r="BZ293" s="287"/>
      <c r="CA293" s="287"/>
      <c r="CB293" s="287"/>
      <c r="CC293" s="287"/>
      <c r="CD293" s="287"/>
      <c r="CE293" s="287"/>
      <c r="CF293" s="287"/>
      <c r="CG293" s="287"/>
      <c r="CH293" s="287"/>
      <c r="CI293" s="287"/>
      <c r="CJ293" s="287"/>
      <c r="CK293" s="287"/>
      <c r="CL293" s="287"/>
      <c r="CM293" s="287"/>
      <c r="CN293" s="287"/>
      <c r="CO293" s="287"/>
      <c r="CP293" s="287"/>
      <c r="CQ293" s="287"/>
      <c r="CR293" s="287"/>
      <c r="CS293" s="287"/>
      <c r="CT293" s="287"/>
      <c r="CU293" s="287"/>
      <c r="CV293" s="287"/>
      <c r="CW293" s="287"/>
      <c r="CX293" s="287"/>
      <c r="CY293" s="287"/>
      <c r="CZ293" s="287"/>
      <c r="DA293" s="287"/>
      <c r="DB293" s="287"/>
      <c r="DC293" s="287"/>
      <c r="DD293" s="287"/>
      <c r="DE293" s="287"/>
      <c r="DF293" s="287"/>
      <c r="DG293" s="287"/>
      <c r="DH293" s="287"/>
      <c r="DI293" s="287"/>
      <c r="DJ293" s="287"/>
      <c r="DK293" s="287"/>
      <c r="DL293" s="287"/>
      <c r="DM293" s="287"/>
      <c r="DN293" s="287"/>
      <c r="DO293" s="287"/>
      <c r="DP293" s="287"/>
    </row>
    <row r="294" spans="1:120" s="417" customFormat="1" ht="25.5" customHeight="1" x14ac:dyDescent="0.25">
      <c r="A294" s="13"/>
      <c r="D294" s="571" t="s">
        <v>143</v>
      </c>
      <c r="E294" s="571"/>
      <c r="F294" s="571"/>
      <c r="G294" s="279"/>
      <c r="H294" s="416" t="s">
        <v>71</v>
      </c>
      <c r="O294" s="415" t="str">
        <f>IF(P294=1, "&lt;===", "")</f>
        <v/>
      </c>
      <c r="P294" s="364" t="str">
        <f>IF(AND(G294="",D432&lt;&gt;""), 1, "")</f>
        <v/>
      </c>
      <c r="X294" s="287"/>
      <c r="Y294" s="287"/>
      <c r="Z294" s="287"/>
      <c r="AA294" s="287"/>
      <c r="AB294" s="287"/>
      <c r="AC294" s="287"/>
      <c r="AD294" s="287"/>
      <c r="AE294" s="287"/>
      <c r="AF294" s="287"/>
      <c r="AG294" s="287"/>
      <c r="AH294" s="287"/>
      <c r="AI294" s="287"/>
      <c r="AJ294" s="287"/>
      <c r="AK294" s="287"/>
      <c r="AL294" s="287"/>
      <c r="AM294" s="287"/>
      <c r="AN294" s="287"/>
      <c r="AO294" s="287"/>
      <c r="AP294" s="287"/>
      <c r="AQ294" s="287"/>
      <c r="AR294" s="287"/>
      <c r="AS294" s="287"/>
      <c r="AT294" s="287"/>
      <c r="AU294" s="287"/>
      <c r="AV294" s="287"/>
      <c r="AW294" s="287"/>
      <c r="AX294" s="287"/>
      <c r="AY294" s="287"/>
      <c r="AZ294" s="287"/>
      <c r="BA294" s="287"/>
      <c r="BB294" s="287"/>
      <c r="BC294" s="287"/>
      <c r="BD294" s="287"/>
      <c r="BE294" s="287"/>
      <c r="BF294" s="287"/>
      <c r="BG294" s="287"/>
      <c r="BH294" s="287"/>
      <c r="BI294" s="287"/>
      <c r="BJ294" s="287"/>
      <c r="BK294" s="287"/>
      <c r="BL294" s="287"/>
      <c r="BM294" s="287"/>
      <c r="BN294" s="287"/>
      <c r="BO294" s="287"/>
      <c r="BP294" s="287"/>
      <c r="BQ294" s="287"/>
      <c r="BR294" s="287"/>
      <c r="BS294" s="287"/>
      <c r="BT294" s="287"/>
      <c r="BU294" s="287"/>
      <c r="BV294" s="287"/>
      <c r="BW294" s="287"/>
      <c r="BX294" s="287"/>
      <c r="BY294" s="287"/>
      <c r="BZ294" s="287"/>
      <c r="CA294" s="287"/>
      <c r="CB294" s="287"/>
      <c r="CC294" s="287"/>
      <c r="CD294" s="287"/>
      <c r="CE294" s="287"/>
      <c r="CF294" s="287"/>
      <c r="CG294" s="287"/>
      <c r="CH294" s="287"/>
      <c r="CI294" s="287"/>
      <c r="CJ294" s="287"/>
      <c r="CK294" s="287"/>
      <c r="CL294" s="287"/>
      <c r="CM294" s="287"/>
      <c r="CN294" s="287"/>
      <c r="CO294" s="287"/>
      <c r="CP294" s="287"/>
      <c r="CQ294" s="287"/>
      <c r="CR294" s="287"/>
      <c r="CS294" s="287"/>
      <c r="CT294" s="287"/>
      <c r="CU294" s="287"/>
      <c r="CV294" s="287"/>
      <c r="CW294" s="287"/>
      <c r="CX294" s="287"/>
      <c r="CY294" s="287"/>
      <c r="CZ294" s="287"/>
      <c r="DA294" s="287"/>
      <c r="DB294" s="287"/>
      <c r="DC294" s="287"/>
      <c r="DD294" s="287"/>
      <c r="DE294" s="287"/>
      <c r="DF294" s="287"/>
      <c r="DG294" s="287"/>
      <c r="DH294" s="287"/>
      <c r="DI294" s="287"/>
      <c r="DJ294" s="287"/>
      <c r="DK294" s="287"/>
      <c r="DL294" s="287"/>
      <c r="DM294" s="287"/>
      <c r="DN294" s="287"/>
      <c r="DO294" s="287"/>
      <c r="DP294" s="287"/>
    </row>
    <row r="295" spans="1:120" s="417" customFormat="1" ht="12" customHeight="1" x14ac:dyDescent="0.25">
      <c r="A295" s="13"/>
      <c r="D295" s="201"/>
      <c r="E295" s="201"/>
      <c r="F295" s="201"/>
      <c r="P295" s="3"/>
      <c r="X295" s="287"/>
      <c r="Y295" s="287"/>
      <c r="Z295" s="287"/>
      <c r="AA295" s="287"/>
      <c r="AB295" s="287"/>
      <c r="AC295" s="287"/>
      <c r="AD295" s="287"/>
      <c r="AE295" s="287"/>
      <c r="AF295" s="287"/>
      <c r="AG295" s="287"/>
      <c r="AH295" s="287"/>
      <c r="AI295" s="287"/>
      <c r="AJ295" s="287"/>
      <c r="AK295" s="287"/>
      <c r="AL295" s="287"/>
      <c r="AM295" s="287"/>
      <c r="AN295" s="287"/>
      <c r="AO295" s="287"/>
      <c r="AP295" s="287"/>
      <c r="AQ295" s="287"/>
      <c r="AR295" s="287"/>
      <c r="AS295" s="287"/>
      <c r="AT295" s="287"/>
      <c r="AU295" s="287"/>
      <c r="AV295" s="287"/>
      <c r="AW295" s="287"/>
      <c r="AX295" s="287"/>
      <c r="AY295" s="287"/>
      <c r="AZ295" s="287"/>
      <c r="BA295" s="287"/>
      <c r="BB295" s="287"/>
      <c r="BC295" s="287"/>
      <c r="BD295" s="287"/>
      <c r="BE295" s="287"/>
      <c r="BF295" s="287"/>
      <c r="BG295" s="287"/>
      <c r="BH295" s="287"/>
      <c r="BI295" s="287"/>
      <c r="BJ295" s="287"/>
      <c r="BK295" s="287"/>
      <c r="BL295" s="287"/>
      <c r="BM295" s="287"/>
      <c r="BN295" s="287"/>
      <c r="BO295" s="287"/>
      <c r="BP295" s="287"/>
      <c r="BQ295" s="287"/>
      <c r="BR295" s="287"/>
      <c r="BS295" s="287"/>
      <c r="BT295" s="287"/>
      <c r="BU295" s="287"/>
      <c r="BV295" s="287"/>
      <c r="BW295" s="287"/>
      <c r="BX295" s="287"/>
      <c r="BY295" s="287"/>
      <c r="BZ295" s="287"/>
      <c r="CA295" s="287"/>
      <c r="CB295" s="287"/>
      <c r="CC295" s="287"/>
      <c r="CD295" s="287"/>
      <c r="CE295" s="287"/>
      <c r="CF295" s="287"/>
      <c r="CG295" s="287"/>
      <c r="CH295" s="287"/>
      <c r="CI295" s="287"/>
      <c r="CJ295" s="287"/>
      <c r="CK295" s="287"/>
      <c r="CL295" s="287"/>
      <c r="CM295" s="287"/>
      <c r="CN295" s="287"/>
      <c r="CO295" s="287"/>
      <c r="CP295" s="287"/>
      <c r="CQ295" s="287"/>
      <c r="CR295" s="287"/>
      <c r="CS295" s="287"/>
      <c r="CT295" s="287"/>
      <c r="CU295" s="287"/>
      <c r="CV295" s="287"/>
      <c r="CW295" s="287"/>
      <c r="CX295" s="287"/>
      <c r="CY295" s="287"/>
      <c r="CZ295" s="287"/>
      <c r="DA295" s="287"/>
      <c r="DB295" s="287"/>
      <c r="DC295" s="287"/>
      <c r="DD295" s="287"/>
      <c r="DE295" s="287"/>
      <c r="DF295" s="287"/>
      <c r="DG295" s="287"/>
      <c r="DH295" s="287"/>
      <c r="DI295" s="287"/>
      <c r="DJ295" s="287"/>
      <c r="DK295" s="287"/>
      <c r="DL295" s="287"/>
      <c r="DM295" s="287"/>
      <c r="DN295" s="287"/>
      <c r="DO295" s="287"/>
      <c r="DP295" s="287"/>
    </row>
    <row r="296" spans="1:120" s="417" customFormat="1" ht="25.5" customHeight="1" x14ac:dyDescent="0.25">
      <c r="A296" s="13"/>
      <c r="C296" s="280"/>
      <c r="D296" s="571" t="s">
        <v>144</v>
      </c>
      <c r="E296" s="571"/>
      <c r="F296" s="606"/>
      <c r="G296" s="279"/>
      <c r="H296" s="416" t="s">
        <v>71</v>
      </c>
      <c r="O296" s="415" t="str">
        <f>IF(P296=1, "&lt;===", "")</f>
        <v/>
      </c>
      <c r="P296" s="364" t="str">
        <f>IF(AND(G296="",D432&lt;&gt;""), 1, "")</f>
        <v/>
      </c>
      <c r="AH296" s="287"/>
      <c r="AI296" s="287"/>
      <c r="AJ296" s="287"/>
      <c r="AK296" s="287"/>
      <c r="AL296" s="287"/>
      <c r="AM296" s="287"/>
      <c r="AN296" s="287"/>
      <c r="AO296" s="287"/>
      <c r="AP296" s="287"/>
      <c r="AQ296" s="287"/>
      <c r="AR296" s="287"/>
      <c r="AS296" s="287"/>
      <c r="AT296" s="287"/>
      <c r="AU296" s="287"/>
      <c r="AV296" s="287"/>
      <c r="AW296" s="287"/>
      <c r="AX296" s="287"/>
      <c r="AY296" s="287"/>
      <c r="AZ296" s="287"/>
      <c r="BA296" s="287"/>
      <c r="BB296" s="287"/>
      <c r="BC296" s="287"/>
      <c r="BD296" s="287"/>
      <c r="BE296" s="287"/>
      <c r="BF296" s="287"/>
      <c r="BG296" s="287"/>
      <c r="BH296" s="287"/>
      <c r="BI296" s="287"/>
      <c r="BJ296" s="287"/>
      <c r="BK296" s="287"/>
      <c r="BL296" s="287"/>
      <c r="BM296" s="287"/>
      <c r="BN296" s="287"/>
      <c r="BO296" s="287"/>
      <c r="BP296" s="287"/>
      <c r="BQ296" s="287"/>
      <c r="BR296" s="287"/>
      <c r="BS296" s="287"/>
      <c r="BT296" s="287"/>
      <c r="BU296" s="287"/>
      <c r="BV296" s="287"/>
      <c r="BW296" s="287"/>
      <c r="BX296" s="287"/>
      <c r="BY296" s="287"/>
      <c r="BZ296" s="287"/>
      <c r="CA296" s="287"/>
      <c r="CB296" s="287"/>
      <c r="CC296" s="287"/>
      <c r="CD296" s="287"/>
      <c r="CE296" s="287"/>
      <c r="CF296" s="287"/>
      <c r="CG296" s="287"/>
      <c r="CH296" s="287"/>
      <c r="CI296" s="287"/>
      <c r="CJ296" s="287"/>
      <c r="CK296" s="287"/>
      <c r="CL296" s="287"/>
      <c r="CM296" s="287"/>
      <c r="CN296" s="287"/>
      <c r="CO296" s="287"/>
      <c r="CP296" s="287"/>
      <c r="CQ296" s="287"/>
      <c r="CR296" s="287"/>
      <c r="CS296" s="287"/>
      <c r="CT296" s="287"/>
      <c r="CU296" s="287"/>
      <c r="CV296" s="287"/>
      <c r="CW296" s="287"/>
      <c r="CX296" s="287"/>
      <c r="CY296" s="287"/>
      <c r="CZ296" s="287"/>
      <c r="DA296" s="287"/>
      <c r="DB296" s="287"/>
      <c r="DC296" s="287"/>
      <c r="DD296" s="287"/>
      <c r="DE296" s="287"/>
      <c r="DF296" s="287"/>
      <c r="DG296" s="287"/>
      <c r="DH296" s="287"/>
      <c r="DI296" s="287"/>
      <c r="DJ296" s="287"/>
      <c r="DK296" s="287"/>
      <c r="DL296" s="287"/>
      <c r="DM296" s="287"/>
      <c r="DN296" s="287"/>
      <c r="DO296" s="287"/>
      <c r="DP296" s="287"/>
    </row>
    <row r="297" spans="1:120" s="417" customFormat="1" ht="12" customHeight="1" x14ac:dyDescent="0.25">
      <c r="A297" s="13"/>
      <c r="D297" s="201"/>
      <c r="E297" s="201"/>
      <c r="F297" s="201"/>
      <c r="P297" s="3"/>
      <c r="AH297" s="287"/>
      <c r="AI297" s="287"/>
      <c r="AJ297" s="287"/>
      <c r="AK297" s="287"/>
      <c r="AL297" s="287"/>
      <c r="AM297" s="287"/>
      <c r="AN297" s="287"/>
      <c r="AO297" s="287"/>
      <c r="AP297" s="287"/>
      <c r="AQ297" s="287"/>
      <c r="AR297" s="287"/>
      <c r="AS297" s="287"/>
      <c r="AT297" s="287"/>
      <c r="AU297" s="287"/>
      <c r="AV297" s="287"/>
      <c r="AW297" s="287"/>
      <c r="AX297" s="287"/>
      <c r="AY297" s="287"/>
      <c r="AZ297" s="287"/>
      <c r="BA297" s="287"/>
      <c r="BB297" s="287"/>
      <c r="BC297" s="287"/>
      <c r="BD297" s="287"/>
      <c r="BE297" s="287"/>
      <c r="BF297" s="287"/>
      <c r="BG297" s="287"/>
      <c r="BH297" s="287"/>
      <c r="BI297" s="287"/>
      <c r="BJ297" s="287"/>
      <c r="BK297" s="287"/>
      <c r="BL297" s="287"/>
      <c r="BM297" s="287"/>
      <c r="BN297" s="287"/>
      <c r="BO297" s="287"/>
      <c r="BP297" s="287"/>
      <c r="BQ297" s="287"/>
      <c r="BR297" s="287"/>
      <c r="BS297" s="287"/>
      <c r="BT297" s="287"/>
      <c r="BU297" s="287"/>
      <c r="BV297" s="287"/>
      <c r="BW297" s="287"/>
      <c r="BX297" s="287"/>
      <c r="BY297" s="287"/>
      <c r="BZ297" s="287"/>
      <c r="CA297" s="287"/>
      <c r="CB297" s="287"/>
      <c r="CC297" s="287"/>
      <c r="CD297" s="287"/>
      <c r="CE297" s="287"/>
      <c r="CF297" s="287"/>
      <c r="CG297" s="287"/>
      <c r="CH297" s="287"/>
      <c r="CI297" s="287"/>
      <c r="CJ297" s="287"/>
      <c r="CK297" s="287"/>
      <c r="CL297" s="287"/>
      <c r="CM297" s="287"/>
      <c r="CN297" s="287"/>
      <c r="CO297" s="287"/>
      <c r="CP297" s="287"/>
      <c r="CQ297" s="287"/>
      <c r="CR297" s="287"/>
      <c r="CS297" s="287"/>
      <c r="CT297" s="287"/>
      <c r="CU297" s="287"/>
      <c r="CV297" s="287"/>
      <c r="CW297" s="287"/>
      <c r="CX297" s="287"/>
      <c r="CY297" s="287"/>
      <c r="CZ297" s="287"/>
      <c r="DA297" s="287"/>
      <c r="DB297" s="287"/>
      <c r="DC297" s="287"/>
      <c r="DD297" s="287"/>
      <c r="DE297" s="287"/>
      <c r="DF297" s="287"/>
      <c r="DG297" s="287"/>
      <c r="DH297" s="287"/>
      <c r="DI297" s="287"/>
      <c r="DJ297" s="287"/>
      <c r="DK297" s="287"/>
      <c r="DL297" s="287"/>
      <c r="DM297" s="287"/>
      <c r="DN297" s="287"/>
      <c r="DO297" s="287"/>
      <c r="DP297" s="287"/>
    </row>
    <row r="298" spans="1:120" s="276" customFormat="1" ht="25.5" customHeight="1" x14ac:dyDescent="0.25">
      <c r="A298" s="13"/>
      <c r="D298" s="571" t="s">
        <v>74</v>
      </c>
      <c r="E298" s="571"/>
      <c r="F298" s="571"/>
      <c r="G298" s="279"/>
      <c r="H298" s="275" t="s">
        <v>71</v>
      </c>
      <c r="O298" s="274" t="str">
        <f>IF(P298=1, "&lt;===", "")</f>
        <v/>
      </c>
      <c r="P298" s="364" t="str">
        <f>IF(AND(G298="",D432&lt;&gt;""), 1, "")</f>
        <v/>
      </c>
      <c r="AH298" s="287"/>
      <c r="AI298" s="287"/>
      <c r="AJ298" s="287"/>
      <c r="AK298" s="287"/>
      <c r="AL298" s="287"/>
      <c r="AM298" s="287"/>
      <c r="AN298" s="287"/>
      <c r="AO298" s="287"/>
      <c r="AP298" s="287"/>
      <c r="AQ298" s="287"/>
      <c r="AR298" s="287"/>
      <c r="AS298" s="287"/>
      <c r="AT298" s="287"/>
      <c r="AU298" s="287"/>
      <c r="AV298" s="287"/>
      <c r="AW298" s="287"/>
      <c r="AX298" s="287"/>
      <c r="AY298" s="287"/>
      <c r="AZ298" s="287"/>
      <c r="BA298" s="287"/>
      <c r="BB298" s="287"/>
      <c r="BC298" s="287"/>
      <c r="BD298" s="287"/>
      <c r="BE298" s="287"/>
      <c r="BF298" s="287"/>
      <c r="BG298" s="287"/>
      <c r="BH298" s="287"/>
      <c r="BI298" s="287"/>
      <c r="BJ298" s="287"/>
      <c r="BK298" s="287"/>
      <c r="BL298" s="287"/>
      <c r="BM298" s="287"/>
      <c r="BN298" s="287"/>
      <c r="BO298" s="287"/>
      <c r="BP298" s="287"/>
      <c r="BQ298" s="287"/>
      <c r="BR298" s="287"/>
      <c r="BS298" s="287"/>
      <c r="BT298" s="287"/>
      <c r="BU298" s="287"/>
      <c r="BV298" s="287"/>
      <c r="BW298" s="287"/>
      <c r="BX298" s="287"/>
      <c r="BY298" s="287"/>
      <c r="BZ298" s="287"/>
      <c r="CA298" s="287"/>
      <c r="CB298" s="287"/>
      <c r="CC298" s="287"/>
      <c r="CD298" s="287"/>
      <c r="CE298" s="287"/>
      <c r="CF298" s="287"/>
      <c r="CG298" s="287"/>
      <c r="CH298" s="287"/>
      <c r="CI298" s="287"/>
      <c r="CJ298" s="287"/>
      <c r="CK298" s="287"/>
      <c r="CL298" s="287"/>
      <c r="CM298" s="287"/>
      <c r="CN298" s="287"/>
      <c r="CO298" s="287"/>
      <c r="CP298" s="287"/>
      <c r="CQ298" s="287"/>
      <c r="CR298" s="287"/>
      <c r="CS298" s="287"/>
      <c r="CT298" s="287"/>
      <c r="CU298" s="287"/>
      <c r="CV298" s="287"/>
      <c r="CW298" s="287"/>
      <c r="CX298" s="287"/>
      <c r="CY298" s="287"/>
      <c r="CZ298" s="287"/>
      <c r="DA298" s="287"/>
      <c r="DB298" s="287"/>
      <c r="DC298" s="287"/>
      <c r="DD298" s="287"/>
      <c r="DE298" s="287"/>
      <c r="DF298" s="287"/>
      <c r="DG298" s="287"/>
      <c r="DH298" s="287"/>
      <c r="DI298" s="287"/>
      <c r="DJ298" s="287"/>
      <c r="DK298" s="287"/>
      <c r="DL298" s="287"/>
      <c r="DM298" s="287"/>
      <c r="DN298" s="287"/>
      <c r="DO298" s="287"/>
      <c r="DP298" s="287"/>
    </row>
    <row r="299" spans="1:120" s="276" customFormat="1" ht="12" customHeight="1" x14ac:dyDescent="0.25">
      <c r="A299" s="13"/>
      <c r="D299" s="201"/>
      <c r="E299" s="201"/>
      <c r="F299" s="201"/>
      <c r="P299" s="3"/>
      <c r="AH299" s="287"/>
      <c r="AI299" s="287"/>
      <c r="AJ299" s="287"/>
      <c r="AK299" s="287"/>
      <c r="AL299" s="287"/>
      <c r="AM299" s="287"/>
      <c r="AN299" s="287"/>
      <c r="AO299" s="287"/>
      <c r="AP299" s="287"/>
      <c r="AQ299" s="287"/>
      <c r="AR299" s="287"/>
      <c r="AS299" s="287"/>
      <c r="AT299" s="287"/>
      <c r="AU299" s="287"/>
      <c r="AV299" s="287"/>
      <c r="AW299" s="287"/>
      <c r="AX299" s="287"/>
      <c r="AY299" s="287"/>
      <c r="AZ299" s="287"/>
      <c r="BA299" s="287"/>
      <c r="BB299" s="287"/>
      <c r="BC299" s="287"/>
      <c r="BD299" s="287"/>
      <c r="BE299" s="287"/>
      <c r="BF299" s="287"/>
      <c r="BG299" s="287"/>
      <c r="BH299" s="287"/>
      <c r="BI299" s="287"/>
      <c r="BJ299" s="287"/>
      <c r="BK299" s="287"/>
      <c r="BL299" s="287"/>
      <c r="BM299" s="287"/>
      <c r="BN299" s="287"/>
      <c r="BO299" s="287"/>
      <c r="BP299" s="287"/>
      <c r="BQ299" s="287"/>
      <c r="BR299" s="287"/>
      <c r="BS299" s="287"/>
      <c r="BT299" s="287"/>
      <c r="BU299" s="287"/>
      <c r="BV299" s="287"/>
      <c r="BW299" s="287"/>
      <c r="BX299" s="287"/>
      <c r="BY299" s="287"/>
      <c r="BZ299" s="287"/>
      <c r="CA299" s="287"/>
      <c r="CB299" s="287"/>
      <c r="CC299" s="287"/>
      <c r="CD299" s="287"/>
      <c r="CE299" s="287"/>
      <c r="CF299" s="287"/>
      <c r="CG299" s="287"/>
      <c r="CH299" s="287"/>
      <c r="CI299" s="287"/>
      <c r="CJ299" s="287"/>
      <c r="CK299" s="287"/>
      <c r="CL299" s="287"/>
      <c r="CM299" s="287"/>
      <c r="CN299" s="287"/>
      <c r="CO299" s="287"/>
      <c r="CP299" s="287"/>
      <c r="CQ299" s="287"/>
      <c r="CR299" s="287"/>
      <c r="CS299" s="287"/>
      <c r="CT299" s="287"/>
      <c r="CU299" s="287"/>
      <c r="CV299" s="287"/>
      <c r="CW299" s="287"/>
      <c r="CX299" s="287"/>
      <c r="CY299" s="287"/>
      <c r="CZ299" s="287"/>
      <c r="DA299" s="287"/>
      <c r="DB299" s="287"/>
      <c r="DC299" s="287"/>
      <c r="DD299" s="287"/>
      <c r="DE299" s="287"/>
      <c r="DF299" s="287"/>
      <c r="DG299" s="287"/>
      <c r="DH299" s="287"/>
      <c r="DI299" s="287"/>
      <c r="DJ299" s="287"/>
      <c r="DK299" s="287"/>
      <c r="DL299" s="287"/>
      <c r="DM299" s="287"/>
      <c r="DN299" s="287"/>
      <c r="DO299" s="287"/>
      <c r="DP299" s="287"/>
    </row>
    <row r="300" spans="1:120" s="276" customFormat="1" ht="27.75" customHeight="1" x14ac:dyDescent="0.25">
      <c r="A300" s="13"/>
      <c r="C300" s="280"/>
      <c r="D300" s="571" t="s">
        <v>76</v>
      </c>
      <c r="E300" s="571"/>
      <c r="F300" s="606"/>
      <c r="G300" s="279"/>
      <c r="H300" s="275" t="s">
        <v>71</v>
      </c>
      <c r="O300" s="274" t="str">
        <f>IF(P300=1, "&lt;===", "")</f>
        <v/>
      </c>
      <c r="P300" s="364" t="str">
        <f>IF(AND(G300="",D432&lt;&gt;""), 1, "")</f>
        <v/>
      </c>
      <c r="AH300" s="287"/>
      <c r="AI300" s="287"/>
      <c r="AJ300" s="287"/>
      <c r="AK300" s="287"/>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c r="BF300" s="287"/>
      <c r="BG300" s="287"/>
      <c r="BH300" s="287"/>
      <c r="BI300" s="287"/>
      <c r="BJ300" s="287"/>
      <c r="BK300" s="287"/>
      <c r="BL300" s="287"/>
      <c r="BM300" s="287"/>
      <c r="BN300" s="287"/>
      <c r="BO300" s="287"/>
      <c r="BP300" s="287"/>
      <c r="BQ300" s="287"/>
      <c r="BR300" s="287"/>
      <c r="BS300" s="287"/>
      <c r="BT300" s="287"/>
      <c r="BU300" s="287"/>
      <c r="BV300" s="287"/>
      <c r="BW300" s="287"/>
      <c r="BX300" s="287"/>
      <c r="BY300" s="287"/>
      <c r="BZ300" s="287"/>
      <c r="CA300" s="287"/>
      <c r="CB300" s="287"/>
      <c r="CC300" s="287"/>
      <c r="CD300" s="287"/>
      <c r="CE300" s="287"/>
      <c r="CF300" s="287"/>
      <c r="CG300" s="287"/>
      <c r="CH300" s="287"/>
      <c r="CI300" s="287"/>
      <c r="CJ300" s="287"/>
      <c r="CK300" s="287"/>
      <c r="CL300" s="287"/>
      <c r="CM300" s="287"/>
      <c r="CN300" s="287"/>
      <c r="CO300" s="287"/>
      <c r="CP300" s="287"/>
      <c r="CQ300" s="287"/>
      <c r="CR300" s="287"/>
      <c r="CS300" s="287"/>
      <c r="CT300" s="287"/>
      <c r="CU300" s="287"/>
      <c r="CV300" s="287"/>
      <c r="CW300" s="287"/>
      <c r="CX300" s="287"/>
      <c r="CY300" s="287"/>
      <c r="CZ300" s="287"/>
      <c r="DA300" s="287"/>
      <c r="DB300" s="287"/>
      <c r="DC300" s="287"/>
      <c r="DD300" s="287"/>
      <c r="DE300" s="287"/>
      <c r="DF300" s="287"/>
      <c r="DG300" s="287"/>
      <c r="DH300" s="287"/>
      <c r="DI300" s="287"/>
      <c r="DJ300" s="287"/>
      <c r="DK300" s="287"/>
      <c r="DL300" s="287"/>
      <c r="DM300" s="287"/>
      <c r="DN300" s="287"/>
      <c r="DO300" s="287"/>
      <c r="DP300" s="287"/>
    </row>
    <row r="301" spans="1:120" s="276" customFormat="1" ht="12" customHeight="1" x14ac:dyDescent="0.25">
      <c r="A301" s="13"/>
      <c r="D301" s="201"/>
      <c r="E301" s="201"/>
      <c r="F301" s="201"/>
      <c r="P301" s="3"/>
      <c r="BA301" s="287"/>
      <c r="BB301" s="287"/>
      <c r="BC301" s="287"/>
      <c r="BD301" s="287"/>
      <c r="BE301" s="287"/>
      <c r="BF301" s="287"/>
      <c r="BG301" s="287"/>
      <c r="BH301" s="287"/>
      <c r="BI301" s="287"/>
      <c r="BJ301" s="287"/>
      <c r="BK301" s="287"/>
      <c r="BL301" s="287"/>
      <c r="BM301" s="287"/>
      <c r="BN301" s="287"/>
      <c r="BO301" s="287"/>
      <c r="BP301" s="287"/>
      <c r="BQ301" s="287"/>
      <c r="BR301" s="287"/>
      <c r="BS301" s="287"/>
      <c r="BT301" s="287"/>
      <c r="BU301" s="287"/>
      <c r="BV301" s="287"/>
      <c r="BW301" s="287"/>
      <c r="BX301" s="287"/>
      <c r="BY301" s="287"/>
      <c r="BZ301" s="287"/>
      <c r="CA301" s="287"/>
      <c r="CB301" s="287"/>
      <c r="CC301" s="287"/>
      <c r="CD301" s="287"/>
      <c r="CE301" s="287"/>
      <c r="CF301" s="287"/>
      <c r="CG301" s="287"/>
      <c r="CH301" s="287"/>
      <c r="CI301" s="287"/>
      <c r="CJ301" s="287"/>
      <c r="CK301" s="287"/>
      <c r="CL301" s="287"/>
      <c r="CM301" s="287"/>
      <c r="CN301" s="287"/>
      <c r="CO301" s="287"/>
      <c r="CP301" s="287"/>
      <c r="CQ301" s="287"/>
      <c r="CR301" s="287"/>
      <c r="CS301" s="287"/>
      <c r="CT301" s="287"/>
      <c r="CU301" s="287"/>
      <c r="CV301" s="287"/>
      <c r="CW301" s="287"/>
      <c r="CX301" s="287"/>
      <c r="CY301" s="287"/>
      <c r="CZ301" s="287"/>
      <c r="DA301" s="287"/>
      <c r="DB301" s="287"/>
      <c r="DC301" s="287"/>
      <c r="DD301" s="287"/>
      <c r="DE301" s="287"/>
      <c r="DF301" s="287"/>
      <c r="DG301" s="287"/>
      <c r="DH301" s="287"/>
      <c r="DI301" s="287"/>
      <c r="DJ301" s="287"/>
      <c r="DK301" s="287"/>
      <c r="DL301" s="287"/>
      <c r="DM301" s="287"/>
      <c r="DN301" s="287"/>
      <c r="DO301" s="287"/>
      <c r="DP301" s="287"/>
    </row>
    <row r="302" spans="1:120" s="276" customFormat="1" ht="25.5" customHeight="1" x14ac:dyDescent="0.25">
      <c r="A302" s="13"/>
      <c r="D302" s="571" t="s">
        <v>73</v>
      </c>
      <c r="E302" s="571"/>
      <c r="F302" s="571"/>
      <c r="G302" s="279"/>
      <c r="H302" s="275" t="s">
        <v>71</v>
      </c>
      <c r="O302" s="274" t="str">
        <f>IF(P302=1, "&lt;===", "")</f>
        <v/>
      </c>
      <c r="P302" s="364" t="str">
        <f>IF(AND(G302="",D432&lt;&gt;""), 1, "")</f>
        <v/>
      </c>
      <c r="BA302" s="287"/>
      <c r="BB302" s="287"/>
      <c r="BC302" s="287"/>
      <c r="BD302" s="287"/>
      <c r="BE302" s="287"/>
      <c r="BF302" s="287"/>
      <c r="BG302" s="287"/>
      <c r="BH302" s="287"/>
      <c r="BI302" s="287"/>
      <c r="BJ302" s="287"/>
      <c r="BK302" s="287"/>
      <c r="BL302" s="287"/>
      <c r="BM302" s="287"/>
      <c r="BN302" s="287"/>
      <c r="BO302" s="287"/>
      <c r="BP302" s="287"/>
      <c r="BQ302" s="287"/>
      <c r="BR302" s="287"/>
      <c r="BS302" s="287"/>
      <c r="BT302" s="287"/>
      <c r="BU302" s="287"/>
      <c r="BV302" s="287"/>
      <c r="BW302" s="287"/>
      <c r="BX302" s="287"/>
      <c r="BY302" s="287"/>
      <c r="BZ302" s="287"/>
      <c r="CA302" s="287"/>
      <c r="CB302" s="287"/>
      <c r="CC302" s="287"/>
      <c r="CD302" s="287"/>
      <c r="CE302" s="287"/>
      <c r="CF302" s="287"/>
      <c r="CG302" s="287"/>
      <c r="CH302" s="287"/>
      <c r="CI302" s="287"/>
      <c r="CJ302" s="287"/>
      <c r="CK302" s="287"/>
      <c r="CL302" s="287"/>
      <c r="CM302" s="287"/>
      <c r="CN302" s="287"/>
      <c r="CO302" s="287"/>
      <c r="CP302" s="287"/>
      <c r="CQ302" s="287"/>
      <c r="CR302" s="287"/>
      <c r="CS302" s="287"/>
      <c r="CT302" s="287"/>
      <c r="CU302" s="287"/>
      <c r="CV302" s="287"/>
      <c r="CW302" s="287"/>
      <c r="CX302" s="287"/>
      <c r="CY302" s="287"/>
      <c r="CZ302" s="287"/>
      <c r="DA302" s="287"/>
      <c r="DB302" s="287"/>
      <c r="DC302" s="287"/>
      <c r="DD302" s="287"/>
      <c r="DE302" s="287"/>
      <c r="DF302" s="287"/>
      <c r="DG302" s="287"/>
      <c r="DH302" s="287"/>
      <c r="DI302" s="287"/>
      <c r="DJ302" s="287"/>
      <c r="DK302" s="287"/>
      <c r="DL302" s="287"/>
      <c r="DM302" s="287"/>
      <c r="DN302" s="287"/>
      <c r="DO302" s="287"/>
      <c r="DP302" s="287"/>
    </row>
    <row r="303" spans="1:120" s="276" customFormat="1" ht="30" customHeight="1" x14ac:dyDescent="0.25">
      <c r="A303" s="13"/>
      <c r="P303" s="3"/>
      <c r="BA303" s="287"/>
      <c r="BB303" s="287"/>
      <c r="BC303" s="287"/>
      <c r="BD303" s="287"/>
      <c r="BE303" s="287"/>
      <c r="BF303" s="287"/>
      <c r="BG303" s="287"/>
      <c r="BH303" s="287"/>
      <c r="BI303" s="287"/>
      <c r="BJ303" s="287"/>
      <c r="BK303" s="287"/>
      <c r="BL303" s="287"/>
      <c r="BM303" s="287"/>
      <c r="BN303" s="287"/>
      <c r="BO303" s="287"/>
      <c r="BP303" s="287"/>
      <c r="BQ303" s="287"/>
      <c r="BR303" s="287"/>
      <c r="BS303" s="287"/>
      <c r="BT303" s="287"/>
      <c r="BU303" s="287"/>
      <c r="BV303" s="287"/>
      <c r="BW303" s="287"/>
      <c r="BX303" s="287"/>
      <c r="BY303" s="287"/>
      <c r="BZ303" s="287"/>
      <c r="CA303" s="287"/>
      <c r="CB303" s="287"/>
      <c r="CC303" s="287"/>
      <c r="CD303" s="287"/>
      <c r="CE303" s="287"/>
      <c r="CF303" s="287"/>
      <c r="CG303" s="287"/>
      <c r="CH303" s="287"/>
      <c r="CI303" s="287"/>
      <c r="CJ303" s="287"/>
      <c r="CK303" s="287"/>
      <c r="CL303" s="287"/>
      <c r="CM303" s="287"/>
      <c r="CN303" s="287"/>
      <c r="CO303" s="287"/>
      <c r="CP303" s="287"/>
      <c r="CQ303" s="287"/>
      <c r="CR303" s="287"/>
      <c r="CS303" s="287"/>
      <c r="CT303" s="287"/>
      <c r="CU303" s="287"/>
      <c r="CV303" s="287"/>
      <c r="CW303" s="287"/>
      <c r="CX303" s="287"/>
      <c r="CY303" s="287"/>
      <c r="CZ303" s="287"/>
      <c r="DA303" s="287"/>
      <c r="DB303" s="287"/>
      <c r="DC303" s="287"/>
      <c r="DD303" s="287"/>
      <c r="DE303" s="287"/>
      <c r="DF303" s="287"/>
      <c r="DG303" s="287"/>
      <c r="DH303" s="287"/>
      <c r="DI303" s="287"/>
      <c r="DJ303" s="287"/>
      <c r="DK303" s="287"/>
      <c r="DL303" s="287"/>
      <c r="DM303" s="287"/>
      <c r="DN303" s="287"/>
      <c r="DO303" s="287"/>
      <c r="DP303" s="287"/>
    </row>
    <row r="304" spans="1:120" s="276" customFormat="1" ht="49.5" customHeight="1" x14ac:dyDescent="0.25">
      <c r="A304" s="13"/>
      <c r="B304" s="277">
        <v>3</v>
      </c>
      <c r="C304" s="569" t="str">
        <f>"Total number of full-time educational faculty in the Paramedic educational program (including Program Director) in "&amp;D4&amp;"?"</f>
        <v>Total number of full-time educational faculty in the Paramedic educational program (including Program Director) in 2022?</v>
      </c>
      <c r="D304" s="569"/>
      <c r="E304" s="569"/>
      <c r="F304" s="570"/>
      <c r="G304" s="279"/>
      <c r="H304" s="275"/>
      <c r="O304" s="221" t="str">
        <f>IF(P304=1, "&lt;===", "")</f>
        <v/>
      </c>
      <c r="P304" s="364" t="str">
        <f>IF(AND(G304="",D432&lt;&gt;""), 1, "")</f>
        <v/>
      </c>
      <c r="BA304" s="287"/>
      <c r="BB304" s="287"/>
      <c r="BC304" s="287"/>
      <c r="BD304" s="287"/>
      <c r="BE304" s="287"/>
      <c r="BF304" s="287"/>
      <c r="BG304" s="287"/>
      <c r="BH304" s="287"/>
      <c r="BI304" s="287"/>
      <c r="BJ304" s="287"/>
      <c r="BK304" s="287"/>
      <c r="BL304" s="287"/>
      <c r="BM304" s="287"/>
      <c r="BN304" s="287"/>
      <c r="BO304" s="287"/>
      <c r="BP304" s="287"/>
      <c r="BQ304" s="287"/>
      <c r="BR304" s="287"/>
      <c r="BS304" s="287"/>
      <c r="BT304" s="287"/>
      <c r="BU304" s="287"/>
      <c r="BV304" s="287"/>
      <c r="BW304" s="287"/>
      <c r="BX304" s="287"/>
      <c r="BY304" s="287"/>
      <c r="BZ304" s="287"/>
      <c r="CA304" s="287"/>
      <c r="CB304" s="287"/>
      <c r="CC304" s="287"/>
      <c r="CD304" s="287"/>
      <c r="CE304" s="287"/>
      <c r="CF304" s="287"/>
      <c r="CG304" s="287"/>
      <c r="CH304" s="287"/>
      <c r="CI304" s="287"/>
      <c r="CJ304" s="287"/>
      <c r="CK304" s="287"/>
      <c r="CL304" s="287"/>
      <c r="CM304" s="287"/>
      <c r="CN304" s="287"/>
      <c r="CO304" s="287"/>
      <c r="CP304" s="287"/>
      <c r="CQ304" s="287"/>
      <c r="CR304" s="287"/>
      <c r="CS304" s="287"/>
      <c r="CT304" s="287"/>
      <c r="CU304" s="287"/>
      <c r="CV304" s="287"/>
      <c r="CW304" s="287"/>
      <c r="CX304" s="287"/>
      <c r="CY304" s="287"/>
      <c r="CZ304" s="287"/>
      <c r="DA304" s="287"/>
      <c r="DB304" s="287"/>
      <c r="DC304" s="287"/>
      <c r="DD304" s="287"/>
      <c r="DE304" s="287"/>
      <c r="DF304" s="287"/>
      <c r="DG304" s="287"/>
      <c r="DH304" s="287"/>
      <c r="DI304" s="287"/>
      <c r="DJ304" s="287"/>
      <c r="DK304" s="287"/>
      <c r="DL304" s="287"/>
      <c r="DM304" s="287"/>
      <c r="DN304" s="287"/>
      <c r="DO304" s="287"/>
      <c r="DP304" s="287"/>
    </row>
    <row r="305" spans="1:120" s="276" customFormat="1" ht="18" customHeight="1" x14ac:dyDescent="0.25">
      <c r="A305" s="13"/>
      <c r="C305" s="201"/>
      <c r="D305" s="201"/>
      <c r="E305" s="201"/>
      <c r="F305" s="201"/>
      <c r="P305" s="3"/>
      <c r="BA305" s="287"/>
      <c r="BB305" s="287"/>
      <c r="BC305" s="287"/>
      <c r="BD305" s="287"/>
      <c r="BE305" s="287"/>
      <c r="BF305" s="287"/>
      <c r="BG305" s="287"/>
      <c r="BH305" s="287"/>
      <c r="BI305" s="287"/>
      <c r="BJ305" s="287"/>
      <c r="BK305" s="287"/>
      <c r="BL305" s="287"/>
      <c r="BM305" s="287"/>
      <c r="BN305" s="287"/>
      <c r="BO305" s="287"/>
      <c r="BP305" s="287"/>
      <c r="BQ305" s="287"/>
      <c r="BR305" s="287"/>
      <c r="BS305" s="287"/>
      <c r="BT305" s="287"/>
      <c r="BU305" s="287"/>
      <c r="BV305" s="287"/>
      <c r="BW305" s="287"/>
      <c r="BX305" s="287"/>
      <c r="BY305" s="287"/>
      <c r="BZ305" s="287"/>
      <c r="CA305" s="287"/>
      <c r="CB305" s="287"/>
      <c r="CC305" s="287"/>
      <c r="CD305" s="287"/>
      <c r="CE305" s="287"/>
      <c r="CF305" s="287"/>
      <c r="CG305" s="287"/>
      <c r="CH305" s="287"/>
      <c r="CI305" s="287"/>
      <c r="CJ305" s="287"/>
      <c r="CK305" s="287"/>
      <c r="CL305" s="287"/>
      <c r="CM305" s="287"/>
      <c r="CN305" s="287"/>
      <c r="CO305" s="287"/>
      <c r="CP305" s="287"/>
      <c r="CQ305" s="287"/>
      <c r="CR305" s="287"/>
      <c r="CS305" s="287"/>
      <c r="CT305" s="287"/>
      <c r="CU305" s="287"/>
      <c r="CV305" s="287"/>
      <c r="CW305" s="287"/>
      <c r="CX305" s="287"/>
      <c r="CY305" s="287"/>
      <c r="CZ305" s="287"/>
      <c r="DA305" s="287"/>
      <c r="DB305" s="287"/>
      <c r="DC305" s="287"/>
      <c r="DD305" s="287"/>
      <c r="DE305" s="287"/>
      <c r="DF305" s="287"/>
      <c r="DG305" s="287"/>
      <c r="DH305" s="287"/>
      <c r="DI305" s="287"/>
      <c r="DJ305" s="287"/>
      <c r="DK305" s="287"/>
      <c r="DL305" s="287"/>
      <c r="DM305" s="287"/>
      <c r="DN305" s="287"/>
      <c r="DO305" s="287"/>
      <c r="DP305" s="287"/>
    </row>
    <row r="306" spans="1:120" s="276" customFormat="1" ht="49.5" customHeight="1" x14ac:dyDescent="0.25">
      <c r="A306" s="13"/>
      <c r="B306" s="277">
        <v>4</v>
      </c>
      <c r="C306" s="569" t="str">
        <f>"On average, how many months were required for on-time successful completion of the Paramedic educational program for students graduating in "&amp;D4&amp;"?"</f>
        <v>On average, how many months were required for on-time successful completion of the Paramedic educational program for students graduating in 2022?</v>
      </c>
      <c r="D306" s="569"/>
      <c r="E306" s="569"/>
      <c r="F306" s="570"/>
      <c r="G306" s="279"/>
      <c r="H306" s="275" t="s">
        <v>72</v>
      </c>
      <c r="O306" s="221" t="str">
        <f>IF(P306=1, "&lt;===", "")</f>
        <v/>
      </c>
      <c r="P306" s="364" t="str">
        <f>IF(AND(G306="",D432&lt;&gt;""), 1, "")</f>
        <v/>
      </c>
      <c r="BA306" s="287"/>
      <c r="BB306" s="287"/>
      <c r="BC306" s="287"/>
      <c r="BD306" s="287"/>
      <c r="BE306" s="287"/>
      <c r="BF306" s="287"/>
      <c r="BG306" s="287"/>
      <c r="BH306" s="287"/>
      <c r="BI306" s="287"/>
      <c r="BJ306" s="287"/>
      <c r="BK306" s="287"/>
      <c r="BL306" s="287"/>
      <c r="BM306" s="287"/>
      <c r="BN306" s="287"/>
      <c r="BO306" s="287"/>
      <c r="BP306" s="287"/>
      <c r="BQ306" s="287"/>
      <c r="BR306" s="287"/>
      <c r="BS306" s="287"/>
      <c r="BT306" s="287"/>
      <c r="BU306" s="287"/>
      <c r="BV306" s="287"/>
      <c r="BW306" s="287"/>
      <c r="BX306" s="287"/>
      <c r="BY306" s="287"/>
      <c r="BZ306" s="287"/>
      <c r="CA306" s="287"/>
      <c r="CB306" s="287"/>
      <c r="CC306" s="287"/>
      <c r="CD306" s="287"/>
      <c r="CE306" s="287"/>
      <c r="CF306" s="287"/>
      <c r="CG306" s="287"/>
      <c r="CH306" s="287"/>
      <c r="CI306" s="287"/>
      <c r="CJ306" s="287"/>
      <c r="CK306" s="287"/>
      <c r="CL306" s="287"/>
      <c r="CM306" s="287"/>
      <c r="CN306" s="287"/>
      <c r="CO306" s="287"/>
      <c r="CP306" s="287"/>
      <c r="CQ306" s="287"/>
      <c r="CR306" s="287"/>
      <c r="CS306" s="287"/>
      <c r="CT306" s="287"/>
      <c r="CU306" s="287"/>
      <c r="CV306" s="287"/>
      <c r="CW306" s="287"/>
      <c r="CX306" s="287"/>
      <c r="CY306" s="287"/>
      <c r="CZ306" s="287"/>
      <c r="DA306" s="287"/>
      <c r="DB306" s="287"/>
      <c r="DC306" s="287"/>
      <c r="DD306" s="287"/>
      <c r="DE306" s="287"/>
      <c r="DF306" s="287"/>
      <c r="DG306" s="287"/>
      <c r="DH306" s="287"/>
      <c r="DI306" s="287"/>
      <c r="DJ306" s="287"/>
      <c r="DK306" s="287"/>
      <c r="DL306" s="287"/>
      <c r="DM306" s="287"/>
      <c r="DN306" s="287"/>
      <c r="DO306" s="287"/>
      <c r="DP306" s="287"/>
    </row>
    <row r="307" spans="1:120" s="276" customFormat="1" ht="20.25" customHeight="1" x14ac:dyDescent="0.25">
      <c r="A307" s="13"/>
      <c r="C307" s="201"/>
      <c r="D307" s="201"/>
      <c r="E307" s="201"/>
      <c r="F307" s="201"/>
      <c r="P307" s="3"/>
      <c r="BA307" s="287"/>
      <c r="BB307" s="287"/>
      <c r="BC307" s="287"/>
      <c r="BD307" s="287"/>
      <c r="BE307" s="287"/>
      <c r="BF307" s="287"/>
      <c r="BG307" s="287"/>
      <c r="BH307" s="287"/>
      <c r="BI307" s="287"/>
      <c r="BJ307" s="287"/>
      <c r="BK307" s="287"/>
      <c r="BL307" s="287"/>
      <c r="BM307" s="287"/>
      <c r="BN307" s="287"/>
      <c r="BO307" s="287"/>
      <c r="BP307" s="287"/>
      <c r="BQ307" s="287"/>
      <c r="BR307" s="287"/>
      <c r="BS307" s="287"/>
      <c r="BT307" s="287"/>
      <c r="BU307" s="287"/>
      <c r="BV307" s="287"/>
      <c r="BW307" s="287"/>
      <c r="BX307" s="287"/>
      <c r="BY307" s="287"/>
      <c r="BZ307" s="287"/>
      <c r="CA307" s="287"/>
      <c r="CB307" s="287"/>
      <c r="CC307" s="287"/>
      <c r="CD307" s="287"/>
      <c r="CE307" s="287"/>
      <c r="CF307" s="287"/>
      <c r="CG307" s="287"/>
      <c r="CH307" s="287"/>
      <c r="CI307" s="287"/>
      <c r="CJ307" s="287"/>
      <c r="CK307" s="287"/>
      <c r="CL307" s="287"/>
      <c r="CM307" s="287"/>
      <c r="CN307" s="287"/>
      <c r="CO307" s="287"/>
      <c r="CP307" s="287"/>
      <c r="CQ307" s="287"/>
      <c r="CR307" s="287"/>
      <c r="CS307" s="287"/>
      <c r="CT307" s="287"/>
      <c r="CU307" s="287"/>
      <c r="CV307" s="287"/>
      <c r="CW307" s="287"/>
      <c r="CX307" s="287"/>
      <c r="CY307" s="287"/>
      <c r="CZ307" s="287"/>
      <c r="DA307" s="287"/>
      <c r="DB307" s="287"/>
      <c r="DC307" s="287"/>
      <c r="DD307" s="287"/>
      <c r="DE307" s="287"/>
      <c r="DF307" s="287"/>
      <c r="DG307" s="287"/>
      <c r="DH307" s="287"/>
      <c r="DI307" s="287"/>
      <c r="DJ307" s="287"/>
      <c r="DK307" s="287"/>
      <c r="DL307" s="287"/>
      <c r="DM307" s="287"/>
      <c r="DN307" s="287"/>
      <c r="DO307" s="287"/>
      <c r="DP307" s="287"/>
    </row>
    <row r="308" spans="1:120" s="276" customFormat="1" ht="49.5" customHeight="1" x14ac:dyDescent="0.25">
      <c r="A308" s="13"/>
      <c r="B308" s="277">
        <v>5</v>
      </c>
      <c r="C308" s="569" t="str">
        <f>"Did the Paramedic educational program have an identified clinical coordinator in "&amp;D4&amp;"?"</f>
        <v>Did the Paramedic educational program have an identified clinical coordinator in 2022?</v>
      </c>
      <c r="D308" s="569"/>
      <c r="E308" s="569"/>
      <c r="F308" s="570"/>
      <c r="G308" s="111" t="s">
        <v>23</v>
      </c>
      <c r="O308" s="221" t="str">
        <f>IF(P308=1, "&lt;===", "")</f>
        <v/>
      </c>
      <c r="P308" s="364" t="str">
        <f>IF(AND(G308="Please Select",D432&lt;&gt;""), 1, "")</f>
        <v/>
      </c>
      <c r="BA308" s="287"/>
      <c r="BB308" s="287"/>
      <c r="BC308" s="287"/>
      <c r="BD308" s="287"/>
      <c r="BE308" s="287"/>
      <c r="BF308" s="287"/>
      <c r="BG308" s="287"/>
      <c r="BH308" s="287"/>
      <c r="BI308" s="287"/>
      <c r="BJ308" s="287"/>
      <c r="BK308" s="287"/>
      <c r="BL308" s="287"/>
      <c r="BM308" s="287"/>
      <c r="BN308" s="287"/>
      <c r="BO308" s="287"/>
      <c r="BP308" s="287"/>
      <c r="BQ308" s="287"/>
      <c r="BR308" s="287"/>
      <c r="BS308" s="287"/>
      <c r="BT308" s="287"/>
      <c r="BU308" s="287"/>
      <c r="BV308" s="287"/>
      <c r="BW308" s="287"/>
      <c r="BX308" s="287"/>
      <c r="BY308" s="287"/>
      <c r="BZ308" s="287"/>
      <c r="CA308" s="287"/>
      <c r="CB308" s="287"/>
      <c r="CC308" s="287"/>
      <c r="CD308" s="287"/>
      <c r="CE308" s="287"/>
      <c r="CF308" s="287"/>
      <c r="CG308" s="287"/>
      <c r="CH308" s="287"/>
      <c r="CI308" s="287"/>
      <c r="CJ308" s="287"/>
      <c r="CK308" s="287"/>
      <c r="CL308" s="287"/>
      <c r="CM308" s="287"/>
      <c r="CN308" s="287"/>
      <c r="CO308" s="287"/>
      <c r="CP308" s="287"/>
      <c r="CQ308" s="287"/>
      <c r="CR308" s="287"/>
      <c r="CS308" s="287"/>
      <c r="CT308" s="287"/>
      <c r="CU308" s="287"/>
      <c r="CV308" s="287"/>
      <c r="CW308" s="287"/>
      <c r="CX308" s="287"/>
      <c r="CY308" s="287"/>
      <c r="CZ308" s="287"/>
      <c r="DA308" s="287"/>
      <c r="DB308" s="287"/>
      <c r="DC308" s="287"/>
      <c r="DD308" s="287"/>
      <c r="DE308" s="287"/>
      <c r="DF308" s="287"/>
      <c r="DG308" s="287"/>
      <c r="DH308" s="287"/>
      <c r="DI308" s="287"/>
      <c r="DJ308" s="287"/>
      <c r="DK308" s="287"/>
      <c r="DL308" s="287"/>
      <c r="DM308" s="287"/>
      <c r="DN308" s="287"/>
      <c r="DO308" s="287"/>
      <c r="DP308" s="287"/>
    </row>
    <row r="309" spans="1:120" s="276" customFormat="1" ht="20.25" customHeight="1" x14ac:dyDescent="0.25">
      <c r="A309" s="13"/>
      <c r="C309" s="201"/>
      <c r="D309" s="201"/>
      <c r="E309" s="201"/>
      <c r="F309" s="201"/>
      <c r="P309" s="3"/>
      <c r="BA309" s="287"/>
      <c r="BB309" s="287"/>
      <c r="BC309" s="287"/>
      <c r="BD309" s="287"/>
      <c r="BE309" s="287"/>
      <c r="BF309" s="287"/>
      <c r="BG309" s="287"/>
      <c r="BH309" s="287"/>
      <c r="BI309" s="287"/>
      <c r="BJ309" s="287"/>
      <c r="BK309" s="287"/>
      <c r="BL309" s="287"/>
      <c r="BM309" s="287"/>
      <c r="BN309" s="287"/>
      <c r="BO309" s="287"/>
      <c r="BP309" s="287"/>
      <c r="BQ309" s="287"/>
      <c r="BR309" s="287"/>
      <c r="BS309" s="287"/>
      <c r="BT309" s="287"/>
      <c r="BU309" s="287"/>
      <c r="BV309" s="287"/>
      <c r="BW309" s="287"/>
      <c r="BX309" s="287"/>
      <c r="BY309" s="287"/>
      <c r="BZ309" s="287"/>
      <c r="CA309" s="287"/>
      <c r="CB309" s="287"/>
      <c r="CC309" s="287"/>
      <c r="CD309" s="287"/>
      <c r="CE309" s="287"/>
      <c r="CF309" s="287"/>
      <c r="CG309" s="287"/>
      <c r="CH309" s="287"/>
      <c r="CI309" s="287"/>
      <c r="CJ309" s="287"/>
      <c r="CK309" s="287"/>
      <c r="CL309" s="287"/>
      <c r="CM309" s="287"/>
      <c r="CN309" s="287"/>
      <c r="CO309" s="287"/>
      <c r="CP309" s="287"/>
      <c r="CQ309" s="287"/>
      <c r="CR309" s="287"/>
      <c r="CS309" s="287"/>
      <c r="CT309" s="287"/>
      <c r="CU309" s="287"/>
      <c r="CV309" s="287"/>
      <c r="CW309" s="287"/>
      <c r="CX309" s="287"/>
      <c r="CY309" s="287"/>
      <c r="CZ309" s="287"/>
      <c r="DA309" s="287"/>
      <c r="DB309" s="287"/>
      <c r="DC309" s="287"/>
      <c r="DD309" s="287"/>
      <c r="DE309" s="287"/>
      <c r="DF309" s="287"/>
      <c r="DG309" s="287"/>
      <c r="DH309" s="287"/>
      <c r="DI309" s="287"/>
      <c r="DJ309" s="287"/>
      <c r="DK309" s="287"/>
      <c r="DL309" s="287"/>
      <c r="DM309" s="287"/>
      <c r="DN309" s="287"/>
      <c r="DO309" s="287"/>
      <c r="DP309" s="287"/>
    </row>
    <row r="310" spans="1:120" s="276" customFormat="1" ht="31.5" hidden="1" customHeight="1" x14ac:dyDescent="0.25">
      <c r="A310" s="13"/>
      <c r="C310" s="201"/>
      <c r="D310" s="201"/>
      <c r="E310" s="201"/>
      <c r="F310" s="201"/>
      <c r="K310" s="13"/>
      <c r="P310" s="3"/>
      <c r="BA310" s="287"/>
      <c r="BB310" s="287"/>
      <c r="BC310" s="287"/>
      <c r="BD310" s="287"/>
      <c r="BE310" s="287"/>
      <c r="BF310" s="287"/>
      <c r="BG310" s="287"/>
      <c r="BH310" s="287"/>
      <c r="BI310" s="287"/>
      <c r="BJ310" s="287"/>
      <c r="BK310" s="287"/>
      <c r="BL310" s="287"/>
      <c r="BM310" s="287"/>
      <c r="BN310" s="287"/>
      <c r="BO310" s="287"/>
      <c r="BP310" s="287"/>
      <c r="BQ310" s="287"/>
      <c r="BR310" s="287"/>
      <c r="BS310" s="287"/>
      <c r="BT310" s="287"/>
      <c r="BU310" s="287"/>
      <c r="BV310" s="287"/>
      <c r="BW310" s="287"/>
      <c r="BX310" s="287"/>
      <c r="BY310" s="287"/>
      <c r="BZ310" s="287"/>
      <c r="CA310" s="287"/>
      <c r="CB310" s="287"/>
      <c r="CC310" s="287"/>
      <c r="CD310" s="287"/>
      <c r="CE310" s="287"/>
      <c r="CF310" s="287"/>
      <c r="CG310" s="287"/>
      <c r="CH310" s="287"/>
      <c r="CI310" s="287"/>
      <c r="CJ310" s="287"/>
      <c r="CK310" s="287"/>
      <c r="CL310" s="287"/>
      <c r="CM310" s="287"/>
      <c r="CN310" s="287"/>
      <c r="CO310" s="287"/>
      <c r="CP310" s="287"/>
      <c r="CQ310" s="287"/>
      <c r="CR310" s="287"/>
      <c r="CS310" s="287"/>
      <c r="CT310" s="287"/>
      <c r="CU310" s="287"/>
      <c r="CV310" s="287"/>
      <c r="CW310" s="287"/>
      <c r="CX310" s="287"/>
      <c r="CY310" s="287"/>
      <c r="CZ310" s="287"/>
      <c r="DA310" s="287"/>
      <c r="DB310" s="287"/>
      <c r="DC310" s="287"/>
      <c r="DD310" s="287"/>
      <c r="DE310" s="287"/>
      <c r="DF310" s="287"/>
      <c r="DG310" s="287"/>
      <c r="DH310" s="287"/>
      <c r="DI310" s="287"/>
      <c r="DJ310" s="287"/>
      <c r="DK310" s="287"/>
      <c r="DL310" s="287"/>
      <c r="DM310" s="287"/>
      <c r="DN310" s="287"/>
      <c r="DO310" s="287"/>
      <c r="DP310" s="287"/>
    </row>
    <row r="311" spans="1:120" s="283" customFormat="1" ht="18.75" hidden="1" customHeight="1" x14ac:dyDescent="0.25">
      <c r="A311" s="13"/>
      <c r="B311" s="380" t="s">
        <v>136</v>
      </c>
      <c r="C311" s="757" t="str">
        <f>"Which professional award(s) did the Paramedic educational program offer in "&amp;D4&amp;"?"</f>
        <v>Which professional award(s) did the Paramedic educational program offer in 2022?</v>
      </c>
      <c r="D311" s="757"/>
      <c r="E311" s="757"/>
      <c r="F311" s="757"/>
      <c r="G311" s="757"/>
      <c r="H311" s="757"/>
      <c r="I311" s="757"/>
      <c r="J311" s="757"/>
      <c r="K311" s="284"/>
      <c r="L311" s="378"/>
      <c r="O311" s="221"/>
      <c r="P311" s="364"/>
      <c r="BA311" s="287"/>
      <c r="BB311" s="287"/>
      <c r="BC311" s="287"/>
      <c r="BD311" s="287"/>
      <c r="BE311" s="287"/>
      <c r="BF311" s="287"/>
      <c r="BG311" s="287"/>
      <c r="BH311" s="287"/>
      <c r="BI311" s="287"/>
      <c r="BJ311" s="287"/>
      <c r="BK311" s="287"/>
      <c r="BL311" s="287"/>
      <c r="BM311" s="287"/>
      <c r="BN311" s="287"/>
      <c r="BO311" s="287"/>
      <c r="BP311" s="287"/>
      <c r="BQ311" s="287"/>
      <c r="BR311" s="287"/>
      <c r="BS311" s="287"/>
      <c r="BT311" s="287"/>
      <c r="BU311" s="287"/>
      <c r="BV311" s="287"/>
      <c r="BW311" s="287"/>
      <c r="BX311" s="287"/>
      <c r="BY311" s="287"/>
      <c r="BZ311" s="287"/>
      <c r="CA311" s="287"/>
      <c r="CB311" s="287"/>
      <c r="CC311" s="287"/>
      <c r="CD311" s="287"/>
      <c r="CE311" s="287"/>
      <c r="CF311" s="287"/>
      <c r="CG311" s="287"/>
      <c r="CH311" s="287"/>
      <c r="CI311" s="287"/>
      <c r="CJ311" s="287"/>
      <c r="CK311" s="287"/>
      <c r="CL311" s="287"/>
      <c r="CM311" s="287"/>
      <c r="CN311" s="287"/>
      <c r="CO311" s="287"/>
      <c r="CP311" s="287"/>
      <c r="CQ311" s="287"/>
      <c r="CR311" s="287"/>
      <c r="CS311" s="287"/>
      <c r="CT311" s="287"/>
      <c r="CU311" s="287"/>
      <c r="CV311" s="287"/>
      <c r="CW311" s="287"/>
      <c r="CX311" s="287"/>
      <c r="CY311" s="287"/>
      <c r="CZ311" s="287"/>
      <c r="DA311" s="287"/>
      <c r="DB311" s="287"/>
      <c r="DC311" s="287"/>
      <c r="DD311" s="287"/>
      <c r="DE311" s="287"/>
      <c r="DF311" s="287"/>
      <c r="DG311" s="287"/>
      <c r="DH311" s="287"/>
      <c r="DI311" s="287"/>
      <c r="DJ311" s="287"/>
      <c r="DK311" s="287"/>
      <c r="DL311" s="287"/>
      <c r="DM311" s="287"/>
      <c r="DN311" s="287"/>
      <c r="DO311" s="287"/>
      <c r="DP311" s="287"/>
    </row>
    <row r="312" spans="1:120" s="283" customFormat="1" ht="8.25" hidden="1" customHeight="1" x14ac:dyDescent="0.25">
      <c r="A312" s="13"/>
      <c r="H312" s="384"/>
      <c r="I312" s="384"/>
      <c r="J312" s="384"/>
      <c r="K312" s="13"/>
      <c r="P312" s="3"/>
      <c r="BA312" s="287"/>
      <c r="BB312" s="287"/>
      <c r="BC312" s="287"/>
      <c r="BD312" s="287"/>
      <c r="BE312" s="287"/>
      <c r="BF312" s="287"/>
      <c r="BG312" s="287"/>
      <c r="BH312" s="287"/>
      <c r="BI312" s="287"/>
      <c r="BJ312" s="287"/>
      <c r="BK312" s="287"/>
      <c r="BL312" s="287"/>
      <c r="BM312" s="287"/>
      <c r="BN312" s="287"/>
      <c r="BO312" s="287"/>
      <c r="BP312" s="287"/>
      <c r="BQ312" s="287"/>
      <c r="BR312" s="287"/>
      <c r="BS312" s="287"/>
      <c r="BT312" s="287"/>
      <c r="BU312" s="287"/>
      <c r="BV312" s="287"/>
      <c r="BW312" s="287"/>
      <c r="BX312" s="287"/>
      <c r="BY312" s="287"/>
      <c r="BZ312" s="287"/>
      <c r="CA312" s="287"/>
      <c r="CB312" s="287"/>
      <c r="CC312" s="287"/>
      <c r="CD312" s="287"/>
      <c r="CE312" s="287"/>
      <c r="CF312" s="287"/>
      <c r="CG312" s="287"/>
      <c r="CH312" s="287"/>
      <c r="CI312" s="287"/>
      <c r="CJ312" s="287"/>
      <c r="CK312" s="287"/>
      <c r="CL312" s="287"/>
      <c r="CM312" s="287"/>
      <c r="CN312" s="287"/>
      <c r="CO312" s="287"/>
      <c r="CP312" s="287"/>
      <c r="CQ312" s="287"/>
      <c r="CR312" s="287"/>
      <c r="CS312" s="287"/>
      <c r="CT312" s="287"/>
      <c r="CU312" s="287"/>
      <c r="CV312" s="287"/>
      <c r="CW312" s="287"/>
      <c r="CX312" s="287"/>
      <c r="CY312" s="287"/>
      <c r="CZ312" s="287"/>
      <c r="DA312" s="287"/>
      <c r="DB312" s="287"/>
      <c r="DC312" s="287"/>
      <c r="DD312" s="287"/>
      <c r="DE312" s="287"/>
      <c r="DF312" s="287"/>
      <c r="DG312" s="287"/>
      <c r="DH312" s="287"/>
      <c r="DI312" s="287"/>
      <c r="DJ312" s="287"/>
      <c r="DK312" s="287"/>
      <c r="DL312" s="287"/>
      <c r="DM312" s="287"/>
      <c r="DN312" s="287"/>
      <c r="DO312" s="287"/>
      <c r="DP312" s="287"/>
    </row>
    <row r="313" spans="1:120" s="283" customFormat="1" ht="21.75" hidden="1" customHeight="1" x14ac:dyDescent="0.25">
      <c r="A313" s="13"/>
      <c r="D313" s="571" t="s">
        <v>139</v>
      </c>
      <c r="E313" s="571"/>
      <c r="F313" s="571"/>
      <c r="G313" s="111" t="s">
        <v>23</v>
      </c>
      <c r="H313" s="282"/>
      <c r="I313" s="461" t="s">
        <v>151</v>
      </c>
      <c r="J313" s="286"/>
      <c r="O313" s="281" t="str">
        <f>IF(P313=1, "&lt;===", "")</f>
        <v/>
      </c>
      <c r="P313" s="364"/>
      <c r="Q313" s="3"/>
      <c r="BA313" s="287"/>
      <c r="BB313" s="287"/>
      <c r="BC313" s="287"/>
      <c r="BD313" s="287"/>
      <c r="BE313" s="287"/>
      <c r="BF313" s="287"/>
      <c r="BG313" s="287"/>
      <c r="BH313" s="287"/>
      <c r="BI313" s="287"/>
      <c r="BJ313" s="287"/>
      <c r="BK313" s="287"/>
      <c r="BL313" s="287"/>
      <c r="BM313" s="287"/>
      <c r="BN313" s="287"/>
      <c r="BO313" s="287"/>
      <c r="BP313" s="287"/>
      <c r="BQ313" s="287"/>
      <c r="BR313" s="287"/>
      <c r="BS313" s="287"/>
      <c r="BT313" s="287"/>
      <c r="BU313" s="287"/>
      <c r="BV313" s="287"/>
      <c r="BW313" s="287"/>
      <c r="BX313" s="287"/>
      <c r="BY313" s="287"/>
      <c r="BZ313" s="287"/>
      <c r="CA313" s="287"/>
      <c r="CB313" s="287"/>
      <c r="CC313" s="287"/>
      <c r="CD313" s="287"/>
      <c r="CE313" s="287"/>
      <c r="CF313" s="287"/>
      <c r="CG313" s="287"/>
      <c r="CH313" s="287"/>
      <c r="CI313" s="287"/>
      <c r="CJ313" s="287"/>
      <c r="CK313" s="287"/>
      <c r="CL313" s="287"/>
      <c r="CM313" s="287"/>
      <c r="CN313" s="287"/>
      <c r="CO313" s="287"/>
      <c r="CP313" s="287"/>
      <c r="CQ313" s="287"/>
      <c r="CR313" s="287"/>
      <c r="CS313" s="287"/>
      <c r="CT313" s="287"/>
      <c r="CU313" s="287"/>
      <c r="CV313" s="287"/>
      <c r="CW313" s="287"/>
      <c r="CX313" s="287"/>
      <c r="CY313" s="287"/>
      <c r="CZ313" s="287"/>
      <c r="DA313" s="287"/>
      <c r="DB313" s="287"/>
      <c r="DC313" s="287"/>
      <c r="DD313" s="287"/>
      <c r="DE313" s="287"/>
      <c r="DF313" s="287"/>
      <c r="DG313" s="287"/>
      <c r="DH313" s="287"/>
      <c r="DI313" s="287"/>
      <c r="DJ313" s="287"/>
      <c r="DK313" s="287"/>
      <c r="DL313" s="287"/>
      <c r="DM313" s="287"/>
      <c r="DN313" s="287"/>
      <c r="DO313" s="287"/>
      <c r="DP313" s="287"/>
    </row>
    <row r="314" spans="1:120" s="283" customFormat="1" ht="10.5" hidden="1" customHeight="1" x14ac:dyDescent="0.25">
      <c r="A314" s="13"/>
      <c r="D314" s="201"/>
      <c r="E314" s="201"/>
      <c r="F314" s="201"/>
      <c r="I314" s="384"/>
      <c r="J314" s="287"/>
      <c r="P314" s="3"/>
      <c r="Q314" s="3"/>
      <c r="BA314" s="287"/>
      <c r="BB314" s="287"/>
      <c r="BC314" s="287"/>
      <c r="BD314" s="287"/>
      <c r="BE314" s="287"/>
      <c r="BF314" s="287"/>
      <c r="BG314" s="287"/>
      <c r="BH314" s="287"/>
      <c r="BI314" s="287"/>
      <c r="BJ314" s="287"/>
      <c r="BK314" s="287"/>
      <c r="BL314" s="287"/>
      <c r="BM314" s="287"/>
      <c r="BN314" s="287"/>
      <c r="BO314" s="287"/>
      <c r="BP314" s="287"/>
      <c r="BQ314" s="287"/>
      <c r="BR314" s="287"/>
      <c r="BS314" s="287"/>
      <c r="BT314" s="287"/>
      <c r="BU314" s="287"/>
      <c r="BV314" s="287"/>
      <c r="BW314" s="287"/>
      <c r="BX314" s="287"/>
      <c r="BY314" s="287"/>
      <c r="BZ314" s="287"/>
      <c r="CA314" s="287"/>
      <c r="CB314" s="287"/>
      <c r="CC314" s="287"/>
      <c r="CD314" s="287"/>
      <c r="CE314" s="287"/>
      <c r="CF314" s="287"/>
      <c r="CG314" s="287"/>
      <c r="CH314" s="287"/>
      <c r="CI314" s="287"/>
      <c r="CJ314" s="287"/>
      <c r="CK314" s="287"/>
      <c r="CL314" s="287"/>
      <c r="CM314" s="287"/>
      <c r="CN314" s="287"/>
      <c r="CO314" s="287"/>
      <c r="CP314" s="287"/>
      <c r="CQ314" s="287"/>
      <c r="CR314" s="287"/>
      <c r="CS314" s="287"/>
      <c r="CT314" s="287"/>
      <c r="CU314" s="287"/>
      <c r="CV314" s="287"/>
      <c r="CW314" s="287"/>
      <c r="CX314" s="287"/>
      <c r="CY314" s="287"/>
      <c r="CZ314" s="287"/>
      <c r="DA314" s="287"/>
      <c r="DB314" s="287"/>
      <c r="DC314" s="287"/>
      <c r="DD314" s="287"/>
      <c r="DE314" s="287"/>
      <c r="DF314" s="287"/>
      <c r="DG314" s="287"/>
      <c r="DH314" s="287"/>
      <c r="DI314" s="287"/>
      <c r="DJ314" s="287"/>
      <c r="DK314" s="287"/>
      <c r="DL314" s="287"/>
      <c r="DM314" s="287"/>
      <c r="DN314" s="287"/>
      <c r="DO314" s="287"/>
      <c r="DP314" s="287"/>
    </row>
    <row r="315" spans="1:120" s="283" customFormat="1" ht="21.75" hidden="1" customHeight="1" x14ac:dyDescent="0.25">
      <c r="A315" s="13"/>
      <c r="C315" s="280"/>
      <c r="D315" s="571" t="s">
        <v>77</v>
      </c>
      <c r="E315" s="571"/>
      <c r="F315" s="606"/>
      <c r="G315" s="111" t="s">
        <v>23</v>
      </c>
      <c r="H315" s="282"/>
      <c r="I315" s="384"/>
      <c r="J315" s="286"/>
      <c r="O315" s="281" t="str">
        <f>IF(P315=1,"&lt;===", "")</f>
        <v/>
      </c>
      <c r="P315" s="364"/>
      <c r="Q315" s="3"/>
      <c r="BA315" s="287"/>
      <c r="BB315" s="287"/>
      <c r="BC315" s="287"/>
      <c r="BD315" s="287"/>
      <c r="BE315" s="287"/>
      <c r="BF315" s="287"/>
      <c r="BG315" s="287"/>
      <c r="BH315" s="287"/>
      <c r="BI315" s="287"/>
      <c r="BJ315" s="287"/>
      <c r="BK315" s="287"/>
      <c r="BL315" s="287"/>
      <c r="BM315" s="287"/>
      <c r="BN315" s="287"/>
      <c r="BO315" s="287"/>
      <c r="BP315" s="287"/>
      <c r="BQ315" s="287"/>
      <c r="BR315" s="287"/>
      <c r="BS315" s="287"/>
      <c r="BT315" s="287"/>
      <c r="BU315" s="287"/>
      <c r="BV315" s="287"/>
      <c r="BW315" s="287"/>
      <c r="BX315" s="287"/>
      <c r="BY315" s="287"/>
      <c r="BZ315" s="287"/>
      <c r="CA315" s="287"/>
      <c r="CB315" s="287"/>
      <c r="CC315" s="287"/>
      <c r="CD315" s="287"/>
      <c r="CE315" s="287"/>
      <c r="CF315" s="287"/>
      <c r="CG315" s="287"/>
      <c r="CH315" s="287"/>
      <c r="CI315" s="287"/>
      <c r="CJ315" s="287"/>
      <c r="CK315" s="287"/>
      <c r="CL315" s="287"/>
      <c r="CM315" s="287"/>
      <c r="CN315" s="287"/>
      <c r="CO315" s="287"/>
      <c r="CP315" s="287"/>
      <c r="CQ315" s="287"/>
      <c r="CR315" s="287"/>
      <c r="CS315" s="287"/>
      <c r="CT315" s="287"/>
      <c r="CU315" s="287"/>
      <c r="CV315" s="287"/>
      <c r="CW315" s="287"/>
      <c r="CX315" s="287"/>
      <c r="CY315" s="287"/>
      <c r="CZ315" s="287"/>
      <c r="DA315" s="287"/>
      <c r="DB315" s="287"/>
      <c r="DC315" s="287"/>
      <c r="DD315" s="287"/>
      <c r="DE315" s="287"/>
      <c r="DF315" s="287"/>
      <c r="DG315" s="287"/>
      <c r="DH315" s="287"/>
      <c r="DI315" s="287"/>
      <c r="DJ315" s="287"/>
      <c r="DK315" s="287"/>
      <c r="DL315" s="287"/>
      <c r="DM315" s="287"/>
      <c r="DN315" s="287"/>
      <c r="DO315" s="287"/>
      <c r="DP315" s="287"/>
    </row>
    <row r="316" spans="1:120" s="283" customFormat="1" ht="10.5" hidden="1" customHeight="1" x14ac:dyDescent="0.25">
      <c r="A316" s="13"/>
      <c r="D316" s="201"/>
      <c r="E316" s="201"/>
      <c r="F316" s="201"/>
      <c r="I316" s="384"/>
      <c r="J316" s="287"/>
      <c r="P316" s="3"/>
      <c r="Q316" s="3"/>
      <c r="BA316" s="287"/>
      <c r="BB316" s="287"/>
      <c r="BC316" s="287"/>
      <c r="BD316" s="287"/>
      <c r="BE316" s="287"/>
      <c r="BF316" s="287"/>
      <c r="BG316" s="287"/>
      <c r="BH316" s="287"/>
      <c r="BI316" s="287"/>
      <c r="BJ316" s="287"/>
      <c r="BK316" s="287"/>
      <c r="BL316" s="287"/>
      <c r="BM316" s="287"/>
      <c r="BN316" s="287"/>
      <c r="BO316" s="287"/>
      <c r="BP316" s="287"/>
      <c r="BQ316" s="287"/>
      <c r="BR316" s="287"/>
      <c r="BS316" s="287"/>
      <c r="BT316" s="287"/>
      <c r="BU316" s="287"/>
      <c r="BV316" s="287"/>
      <c r="BW316" s="287"/>
      <c r="BX316" s="287"/>
      <c r="BY316" s="287"/>
      <c r="BZ316" s="287"/>
      <c r="CA316" s="287"/>
      <c r="CB316" s="287"/>
      <c r="CC316" s="287"/>
      <c r="CD316" s="287"/>
      <c r="CE316" s="287"/>
      <c r="CF316" s="287"/>
      <c r="CG316" s="287"/>
      <c r="CH316" s="287"/>
      <c r="CI316" s="287"/>
      <c r="CJ316" s="287"/>
      <c r="CK316" s="287"/>
      <c r="CL316" s="287"/>
      <c r="CM316" s="287"/>
      <c r="CN316" s="287"/>
      <c r="CO316" s="287"/>
      <c r="CP316" s="287"/>
      <c r="CQ316" s="287"/>
      <c r="CR316" s="287"/>
      <c r="CS316" s="287"/>
      <c r="CT316" s="287"/>
      <c r="CU316" s="287"/>
      <c r="CV316" s="287"/>
      <c r="CW316" s="287"/>
      <c r="CX316" s="287"/>
      <c r="CY316" s="287"/>
      <c r="CZ316" s="287"/>
      <c r="DA316" s="287"/>
      <c r="DB316" s="287"/>
      <c r="DC316" s="287"/>
      <c r="DD316" s="287"/>
      <c r="DE316" s="287"/>
      <c r="DF316" s="287"/>
      <c r="DG316" s="287"/>
      <c r="DH316" s="287"/>
      <c r="DI316" s="287"/>
      <c r="DJ316" s="287"/>
      <c r="DK316" s="287"/>
      <c r="DL316" s="287"/>
      <c r="DM316" s="287"/>
      <c r="DN316" s="287"/>
      <c r="DO316" s="287"/>
      <c r="DP316" s="287"/>
    </row>
    <row r="317" spans="1:120" s="283" customFormat="1" ht="21.75" hidden="1" customHeight="1" x14ac:dyDescent="0.25">
      <c r="A317" s="13"/>
      <c r="D317" s="571" t="s">
        <v>78</v>
      </c>
      <c r="E317" s="571"/>
      <c r="F317" s="571"/>
      <c r="G317" s="111" t="s">
        <v>23</v>
      </c>
      <c r="H317" s="282"/>
      <c r="I317" s="384"/>
      <c r="J317" s="286"/>
      <c r="O317" s="281" t="str">
        <f>IF(P317=1,"&lt;===", "")</f>
        <v/>
      </c>
      <c r="P317" s="364"/>
      <c r="Q317" s="3"/>
      <c r="BA317" s="287"/>
      <c r="BB317" s="287"/>
      <c r="BC317" s="287"/>
      <c r="BD317" s="287"/>
      <c r="BE317" s="287"/>
      <c r="BF317" s="287"/>
      <c r="BG317" s="287"/>
      <c r="BH317" s="287"/>
      <c r="BI317" s="287"/>
      <c r="BJ317" s="287"/>
      <c r="BK317" s="287"/>
      <c r="BL317" s="287"/>
      <c r="BM317" s="287"/>
      <c r="BN317" s="287"/>
      <c r="BO317" s="287"/>
      <c r="BP317" s="287"/>
      <c r="BQ317" s="287"/>
      <c r="BR317" s="287"/>
      <c r="BS317" s="287"/>
      <c r="BT317" s="287"/>
      <c r="BU317" s="287"/>
      <c r="BV317" s="287"/>
      <c r="BW317" s="287"/>
      <c r="BX317" s="287"/>
      <c r="BY317" s="287"/>
      <c r="BZ317" s="287"/>
      <c r="CA317" s="287"/>
      <c r="CB317" s="287"/>
      <c r="CC317" s="287"/>
      <c r="CD317" s="287"/>
      <c r="CE317" s="287"/>
      <c r="CF317" s="287"/>
      <c r="CG317" s="287"/>
      <c r="CH317" s="287"/>
      <c r="CI317" s="287"/>
      <c r="CJ317" s="287"/>
      <c r="CK317" s="287"/>
      <c r="CL317" s="287"/>
      <c r="CM317" s="287"/>
      <c r="CN317" s="287"/>
      <c r="CO317" s="287"/>
      <c r="CP317" s="287"/>
      <c r="CQ317" s="287"/>
      <c r="CR317" s="287"/>
      <c r="CS317" s="287"/>
      <c r="CT317" s="287"/>
      <c r="CU317" s="287"/>
      <c r="CV317" s="287"/>
      <c r="CW317" s="287"/>
      <c r="CX317" s="287"/>
      <c r="CY317" s="287"/>
      <c r="CZ317" s="287"/>
      <c r="DA317" s="287"/>
      <c r="DB317" s="287"/>
      <c r="DC317" s="287"/>
      <c r="DD317" s="287"/>
      <c r="DE317" s="287"/>
      <c r="DF317" s="287"/>
      <c r="DG317" s="287"/>
      <c r="DH317" s="287"/>
      <c r="DI317" s="287"/>
      <c r="DJ317" s="287"/>
      <c r="DK317" s="287"/>
      <c r="DL317" s="287"/>
      <c r="DM317" s="287"/>
      <c r="DN317" s="287"/>
      <c r="DO317" s="287"/>
      <c r="DP317" s="287"/>
    </row>
    <row r="318" spans="1:120" s="283" customFormat="1" ht="27" hidden="1" customHeight="1" x14ac:dyDescent="0.3">
      <c r="A318" s="13"/>
      <c r="I318" s="384"/>
      <c r="J318" s="288"/>
      <c r="O318" s="281" t="str">
        <f>IF(P318=1, "&lt;===", "")</f>
        <v/>
      </c>
      <c r="P318" s="3" t="str">
        <f>IF(AND(I318&gt;100,D432&lt;&gt;""), 1, "")</f>
        <v/>
      </c>
      <c r="Q318" s="3"/>
      <c r="BA318" s="287"/>
      <c r="BB318" s="287"/>
      <c r="BC318" s="287"/>
      <c r="BD318" s="287"/>
      <c r="BE318" s="287"/>
      <c r="BF318" s="287"/>
      <c r="BG318" s="287"/>
      <c r="BH318" s="287"/>
      <c r="BI318" s="287"/>
      <c r="BJ318" s="287"/>
      <c r="BK318" s="287"/>
      <c r="BL318" s="287"/>
      <c r="BM318" s="287"/>
      <c r="BN318" s="287"/>
      <c r="BO318" s="287"/>
      <c r="BP318" s="287"/>
      <c r="BQ318" s="287"/>
      <c r="BR318" s="287"/>
      <c r="BS318" s="287"/>
      <c r="BT318" s="287"/>
      <c r="BU318" s="287"/>
      <c r="BV318" s="287"/>
      <c r="BW318" s="287"/>
      <c r="BX318" s="287"/>
      <c r="BY318" s="287"/>
      <c r="BZ318" s="287"/>
      <c r="CA318" s="287"/>
      <c r="CB318" s="287"/>
      <c r="CC318" s="287"/>
      <c r="CD318" s="287"/>
      <c r="CE318" s="287"/>
      <c r="CF318" s="287"/>
      <c r="CG318" s="287"/>
      <c r="CH318" s="287"/>
      <c r="CI318" s="287"/>
      <c r="CJ318" s="287"/>
      <c r="CK318" s="287"/>
      <c r="CL318" s="287"/>
      <c r="CM318" s="287"/>
      <c r="CN318" s="287"/>
      <c r="CO318" s="287"/>
      <c r="CP318" s="287"/>
      <c r="CQ318" s="287"/>
      <c r="CR318" s="287"/>
      <c r="CS318" s="287"/>
      <c r="CT318" s="287"/>
      <c r="CU318" s="287"/>
      <c r="CV318" s="287"/>
      <c r="CW318" s="287"/>
      <c r="CX318" s="287"/>
      <c r="CY318" s="287"/>
      <c r="CZ318" s="287"/>
      <c r="DA318" s="287"/>
      <c r="DB318" s="287"/>
      <c r="DC318" s="287"/>
      <c r="DD318" s="287"/>
      <c r="DE318" s="287"/>
      <c r="DF318" s="287"/>
      <c r="DG318" s="287"/>
      <c r="DH318" s="287"/>
      <c r="DI318" s="287"/>
      <c r="DJ318" s="287"/>
      <c r="DK318" s="287"/>
      <c r="DL318" s="287"/>
      <c r="DM318" s="287"/>
      <c r="DN318" s="287"/>
      <c r="DO318" s="287"/>
      <c r="DP318" s="287"/>
    </row>
    <row r="319" spans="1:120" s="283" customFormat="1" ht="21" hidden="1" customHeight="1" x14ac:dyDescent="0.25">
      <c r="A319" s="13"/>
      <c r="B319" s="382" t="s">
        <v>75</v>
      </c>
      <c r="C319" s="745" t="str">
        <f>"What percentage of graduates in "&amp;D4&amp;" enrolled for the award identified?"</f>
        <v>What percentage of graduates in 2022 enrolled for the award identified?</v>
      </c>
      <c r="D319" s="745"/>
      <c r="E319" s="745"/>
      <c r="F319" s="745"/>
      <c r="G319" s="745"/>
      <c r="H319" s="745"/>
      <c r="I319" s="461" t="s">
        <v>152</v>
      </c>
      <c r="J319" s="289"/>
      <c r="K319" s="289"/>
      <c r="L319" s="289"/>
      <c r="M319" s="289"/>
      <c r="N319" s="289"/>
      <c r="P319" s="3"/>
      <c r="BA319" s="287"/>
      <c r="BB319" s="287"/>
      <c r="BC319" s="287"/>
      <c r="BD319" s="287"/>
      <c r="BE319" s="287"/>
      <c r="BF319" s="287"/>
      <c r="BG319" s="287"/>
      <c r="BH319" s="287"/>
      <c r="BI319" s="287"/>
      <c r="BJ319" s="287"/>
      <c r="BK319" s="287"/>
      <c r="BL319" s="287"/>
      <c r="BM319" s="287"/>
      <c r="BN319" s="287"/>
      <c r="BO319" s="287"/>
      <c r="BP319" s="287"/>
      <c r="BQ319" s="287"/>
      <c r="BR319" s="287"/>
      <c r="BS319" s="287"/>
      <c r="BT319" s="287"/>
      <c r="BU319" s="287"/>
      <c r="BV319" s="287"/>
      <c r="BW319" s="287"/>
      <c r="BX319" s="287"/>
      <c r="BY319" s="287"/>
      <c r="BZ319" s="287"/>
      <c r="CA319" s="287"/>
      <c r="CB319" s="287"/>
      <c r="CC319" s="287"/>
      <c r="CD319" s="287"/>
      <c r="CE319" s="287"/>
      <c r="CF319" s="287"/>
      <c r="CG319" s="287"/>
      <c r="CH319" s="287"/>
      <c r="CI319" s="287"/>
      <c r="CJ319" s="287"/>
      <c r="CK319" s="287"/>
      <c r="CL319" s="287"/>
      <c r="CM319" s="287"/>
      <c r="CN319" s="287"/>
      <c r="CO319" s="287"/>
      <c r="CP319" s="287"/>
      <c r="CQ319" s="287"/>
      <c r="CR319" s="287"/>
      <c r="CS319" s="287"/>
      <c r="CT319" s="287"/>
      <c r="CU319" s="287"/>
      <c r="CV319" s="287"/>
      <c r="CW319" s="287"/>
      <c r="CX319" s="287"/>
      <c r="CY319" s="287"/>
      <c r="CZ319" s="287"/>
      <c r="DA319" s="287"/>
      <c r="DB319" s="287"/>
      <c r="DC319" s="287"/>
      <c r="DD319" s="287"/>
      <c r="DE319" s="287"/>
      <c r="DF319" s="287"/>
      <c r="DG319" s="287"/>
      <c r="DH319" s="287"/>
      <c r="DI319" s="287"/>
      <c r="DJ319" s="287"/>
      <c r="DK319" s="287"/>
      <c r="DL319" s="287"/>
      <c r="DM319" s="287"/>
      <c r="DN319" s="287"/>
      <c r="DO319" s="287"/>
      <c r="DP319" s="287"/>
    </row>
    <row r="320" spans="1:120" s="389" customFormat="1" ht="39" hidden="1" customHeight="1" x14ac:dyDescent="0.25">
      <c r="A320" s="204"/>
      <c r="C320" s="388"/>
      <c r="D320" s="607" t="s">
        <v>145</v>
      </c>
      <c r="E320" s="607"/>
      <c r="F320" s="607"/>
      <c r="G320" s="607"/>
      <c r="H320" s="607"/>
      <c r="J320" s="204"/>
      <c r="K320" s="204"/>
      <c r="P320" s="386"/>
      <c r="BA320" s="437"/>
      <c r="BB320" s="437"/>
      <c r="BC320" s="437"/>
      <c r="BD320" s="437"/>
      <c r="BE320" s="437"/>
      <c r="BF320" s="437"/>
      <c r="BG320" s="437"/>
      <c r="BH320" s="437"/>
      <c r="BI320" s="437"/>
      <c r="BJ320" s="437"/>
      <c r="BK320" s="437"/>
      <c r="BL320" s="437"/>
      <c r="BM320" s="437"/>
      <c r="BN320" s="437"/>
      <c r="BO320" s="437"/>
      <c r="BP320" s="437"/>
      <c r="BQ320" s="437"/>
      <c r="BR320" s="437"/>
      <c r="BS320" s="437"/>
      <c r="BT320" s="437"/>
      <c r="BU320" s="437"/>
      <c r="BV320" s="437"/>
      <c r="BW320" s="437"/>
      <c r="BX320" s="437"/>
      <c r="BY320" s="437"/>
      <c r="BZ320" s="437"/>
      <c r="CA320" s="437"/>
      <c r="CB320" s="437"/>
      <c r="CC320" s="437"/>
      <c r="CD320" s="437"/>
      <c r="CE320" s="437"/>
      <c r="CF320" s="437"/>
      <c r="CG320" s="437"/>
      <c r="CH320" s="437"/>
      <c r="CI320" s="437"/>
      <c r="CJ320" s="437"/>
      <c r="CK320" s="437"/>
      <c r="CL320" s="437"/>
      <c r="CM320" s="437"/>
      <c r="CN320" s="437"/>
      <c r="CO320" s="437"/>
      <c r="CP320" s="437"/>
      <c r="CQ320" s="437"/>
      <c r="CR320" s="437"/>
      <c r="CS320" s="437"/>
      <c r="CT320" s="437"/>
      <c r="CU320" s="437"/>
      <c r="CV320" s="437"/>
      <c r="CW320" s="437"/>
      <c r="CX320" s="437"/>
      <c r="CY320" s="437"/>
      <c r="CZ320" s="437"/>
      <c r="DA320" s="437"/>
      <c r="DB320" s="437"/>
      <c r="DC320" s="437"/>
      <c r="DD320" s="437"/>
      <c r="DE320" s="437"/>
      <c r="DF320" s="437"/>
      <c r="DG320" s="437"/>
      <c r="DH320" s="437"/>
      <c r="DI320" s="437"/>
      <c r="DJ320" s="437"/>
      <c r="DK320" s="437"/>
      <c r="DL320" s="437"/>
      <c r="DM320" s="437"/>
      <c r="DN320" s="437"/>
      <c r="DO320" s="437"/>
      <c r="DP320" s="437"/>
    </row>
    <row r="321" spans="1:120" s="378" customFormat="1" ht="21.75" hidden="1" customHeight="1" x14ac:dyDescent="0.25">
      <c r="A321" s="13"/>
      <c r="C321" s="377"/>
      <c r="D321" s="571" t="s">
        <v>139</v>
      </c>
      <c r="E321" s="571"/>
      <c r="F321" s="571"/>
      <c r="G321" s="285"/>
      <c r="H321" s="374" t="s">
        <v>137</v>
      </c>
      <c r="O321" s="375" t="str">
        <f>IF(P321=1, "&lt;===", "")</f>
        <v/>
      </c>
      <c r="P321" s="3"/>
      <c r="BA321" s="287"/>
      <c r="BB321" s="287"/>
      <c r="BC321" s="287"/>
      <c r="BD321" s="287"/>
      <c r="BE321" s="287"/>
      <c r="BF321" s="287"/>
      <c r="BG321" s="287"/>
      <c r="BH321" s="287"/>
      <c r="BI321" s="287"/>
      <c r="BJ321" s="287"/>
      <c r="BK321" s="287"/>
      <c r="BL321" s="287"/>
      <c r="BM321" s="287"/>
      <c r="BN321" s="287"/>
      <c r="BO321" s="287"/>
      <c r="BP321" s="287"/>
      <c r="BQ321" s="287"/>
      <c r="BR321" s="287"/>
      <c r="BS321" s="287"/>
      <c r="BT321" s="287"/>
      <c r="BU321" s="287"/>
      <c r="BV321" s="287"/>
      <c r="BW321" s="287"/>
      <c r="BX321" s="287"/>
      <c r="BY321" s="287"/>
      <c r="BZ321" s="287"/>
      <c r="CA321" s="287"/>
      <c r="CB321" s="287"/>
      <c r="CC321" s="287"/>
      <c r="CD321" s="287"/>
      <c r="CE321" s="287"/>
      <c r="CF321" s="287"/>
      <c r="CG321" s="287"/>
      <c r="CH321" s="287"/>
      <c r="CI321" s="287"/>
      <c r="CJ321" s="287"/>
      <c r="CK321" s="287"/>
      <c r="CL321" s="287"/>
      <c r="CM321" s="287"/>
      <c r="CN321" s="287"/>
      <c r="CO321" s="287"/>
      <c r="CP321" s="287"/>
      <c r="CQ321" s="287"/>
      <c r="CR321" s="287"/>
      <c r="CS321" s="287"/>
      <c r="CT321" s="287"/>
      <c r="CU321" s="287"/>
      <c r="CV321" s="287"/>
      <c r="CW321" s="287"/>
      <c r="CX321" s="287"/>
      <c r="CY321" s="287"/>
      <c r="CZ321" s="287"/>
      <c r="DA321" s="287"/>
      <c r="DB321" s="287"/>
      <c r="DC321" s="287"/>
      <c r="DD321" s="287"/>
      <c r="DE321" s="287"/>
      <c r="DF321" s="287"/>
      <c r="DG321" s="287"/>
      <c r="DH321" s="287"/>
      <c r="DI321" s="287"/>
      <c r="DJ321" s="287"/>
      <c r="DK321" s="287"/>
      <c r="DL321" s="287"/>
      <c r="DM321" s="287"/>
      <c r="DN321" s="287"/>
      <c r="DO321" s="287"/>
      <c r="DP321" s="287"/>
    </row>
    <row r="322" spans="1:120" s="291" customFormat="1" ht="10.5" hidden="1" customHeight="1" x14ac:dyDescent="0.25">
      <c r="A322" s="13"/>
      <c r="D322" s="201"/>
      <c r="E322" s="201"/>
      <c r="F322" s="201"/>
      <c r="G322" s="381"/>
      <c r="P322" s="3"/>
      <c r="BA322" s="287"/>
      <c r="BB322" s="287"/>
      <c r="BC322" s="287"/>
      <c r="BD322" s="287"/>
      <c r="BE322" s="287"/>
      <c r="BF322" s="287"/>
      <c r="BG322" s="287"/>
      <c r="BH322" s="287"/>
      <c r="BI322" s="287"/>
      <c r="BJ322" s="287"/>
      <c r="BK322" s="287"/>
      <c r="BL322" s="287"/>
      <c r="BM322" s="287"/>
      <c r="BN322" s="287"/>
      <c r="BO322" s="287"/>
      <c r="BP322" s="287"/>
      <c r="BQ322" s="287"/>
      <c r="BR322" s="287"/>
      <c r="BS322" s="287"/>
      <c r="BT322" s="287"/>
      <c r="BU322" s="287"/>
      <c r="BV322" s="287"/>
      <c r="BW322" s="287"/>
      <c r="BX322" s="287"/>
      <c r="BY322" s="287"/>
      <c r="BZ322" s="287"/>
      <c r="CA322" s="287"/>
      <c r="CB322" s="287"/>
      <c r="CC322" s="287"/>
      <c r="CD322" s="287"/>
      <c r="CE322" s="287"/>
      <c r="CF322" s="287"/>
      <c r="CG322" s="287"/>
      <c r="CH322" s="287"/>
      <c r="CI322" s="287"/>
      <c r="CJ322" s="287"/>
      <c r="CK322" s="287"/>
      <c r="CL322" s="287"/>
      <c r="CM322" s="287"/>
      <c r="CN322" s="287"/>
      <c r="CO322" s="287"/>
      <c r="CP322" s="287"/>
      <c r="CQ322" s="287"/>
      <c r="CR322" s="287"/>
      <c r="CS322" s="287"/>
      <c r="CT322" s="287"/>
      <c r="CU322" s="287"/>
      <c r="CV322" s="287"/>
      <c r="CW322" s="287"/>
      <c r="CX322" s="287"/>
      <c r="CY322" s="287"/>
      <c r="CZ322" s="287"/>
      <c r="DA322" s="287"/>
      <c r="DB322" s="287"/>
      <c r="DC322" s="287"/>
      <c r="DD322" s="287"/>
      <c r="DE322" s="287"/>
      <c r="DF322" s="287"/>
      <c r="DG322" s="287"/>
      <c r="DH322" s="287"/>
      <c r="DI322" s="287"/>
      <c r="DJ322" s="287"/>
      <c r="DK322" s="287"/>
      <c r="DL322" s="287"/>
      <c r="DM322" s="287"/>
      <c r="DN322" s="287"/>
      <c r="DO322" s="287"/>
      <c r="DP322" s="287"/>
    </row>
    <row r="323" spans="1:120" s="291" customFormat="1" ht="21.75" hidden="1" customHeight="1" x14ac:dyDescent="0.25">
      <c r="A323" s="13"/>
      <c r="C323" s="376"/>
      <c r="D323" s="571" t="s">
        <v>77</v>
      </c>
      <c r="E323" s="571"/>
      <c r="F323" s="606"/>
      <c r="G323" s="285"/>
      <c r="H323" s="374" t="s">
        <v>137</v>
      </c>
      <c r="J323" s="378"/>
      <c r="O323" s="375" t="str">
        <f>IF(P323=1, "&lt;===", "")</f>
        <v/>
      </c>
      <c r="P323" s="386"/>
      <c r="BA323" s="287"/>
      <c r="BB323" s="287"/>
      <c r="BC323" s="287"/>
      <c r="BD323" s="287"/>
      <c r="BE323" s="287"/>
      <c r="BF323" s="287"/>
      <c r="BG323" s="287"/>
      <c r="BH323" s="287"/>
      <c r="BI323" s="287"/>
      <c r="BJ323" s="287"/>
      <c r="BK323" s="287"/>
      <c r="BL323" s="287"/>
      <c r="BM323" s="287"/>
      <c r="BN323" s="287"/>
      <c r="BO323" s="287"/>
      <c r="BP323" s="287"/>
      <c r="BQ323" s="287"/>
      <c r="BR323" s="287"/>
      <c r="BS323" s="287"/>
      <c r="BT323" s="287"/>
      <c r="BU323" s="287"/>
      <c r="BV323" s="287"/>
      <c r="BW323" s="287"/>
      <c r="BX323" s="287"/>
      <c r="BY323" s="287"/>
      <c r="BZ323" s="287"/>
      <c r="CA323" s="287"/>
      <c r="CB323" s="287"/>
      <c r="CC323" s="287"/>
      <c r="CD323" s="287"/>
      <c r="CE323" s="287"/>
      <c r="CF323" s="287"/>
      <c r="CG323" s="287"/>
      <c r="CH323" s="287"/>
      <c r="CI323" s="287"/>
      <c r="CJ323" s="287"/>
      <c r="CK323" s="287"/>
      <c r="CL323" s="287"/>
      <c r="CM323" s="287"/>
      <c r="CN323" s="287"/>
      <c r="CO323" s="287"/>
      <c r="CP323" s="287"/>
      <c r="CQ323" s="287"/>
      <c r="CR323" s="287"/>
      <c r="CS323" s="287"/>
      <c r="CT323" s="287"/>
      <c r="CU323" s="287"/>
      <c r="CV323" s="287"/>
      <c r="CW323" s="287"/>
      <c r="CX323" s="287"/>
      <c r="CY323" s="287"/>
      <c r="CZ323" s="287"/>
      <c r="DA323" s="287"/>
      <c r="DB323" s="287"/>
      <c r="DC323" s="287"/>
      <c r="DD323" s="287"/>
      <c r="DE323" s="287"/>
      <c r="DF323" s="287"/>
      <c r="DG323" s="287"/>
      <c r="DH323" s="287"/>
      <c r="DI323" s="287"/>
      <c r="DJ323" s="287"/>
      <c r="DK323" s="287"/>
      <c r="DL323" s="287"/>
      <c r="DM323" s="287"/>
      <c r="DN323" s="287"/>
      <c r="DO323" s="287"/>
      <c r="DP323" s="287"/>
    </row>
    <row r="324" spans="1:120" s="291" customFormat="1" ht="10.5" hidden="1" customHeight="1" x14ac:dyDescent="0.25">
      <c r="A324" s="13"/>
      <c r="C324" s="377"/>
      <c r="D324" s="413"/>
      <c r="E324" s="413"/>
      <c r="F324" s="413"/>
      <c r="G324" s="377"/>
      <c r="O324" s="385"/>
      <c r="P324" s="386"/>
      <c r="BA324" s="287"/>
      <c r="BB324" s="287"/>
      <c r="BC324" s="287"/>
      <c r="BD324" s="287"/>
      <c r="BE324" s="287"/>
      <c r="BF324" s="287"/>
      <c r="BG324" s="287"/>
      <c r="BH324" s="287"/>
      <c r="BI324" s="287"/>
      <c r="BJ324" s="287"/>
      <c r="BK324" s="287"/>
      <c r="BL324" s="287"/>
      <c r="BM324" s="287"/>
      <c r="BN324" s="287"/>
      <c r="BO324" s="287"/>
      <c r="BP324" s="287"/>
      <c r="BQ324" s="287"/>
      <c r="BR324" s="287"/>
      <c r="BS324" s="287"/>
      <c r="BT324" s="287"/>
      <c r="BU324" s="287"/>
      <c r="BV324" s="287"/>
      <c r="BW324" s="287"/>
      <c r="BX324" s="287"/>
      <c r="BY324" s="287"/>
      <c r="BZ324" s="287"/>
      <c r="CA324" s="287"/>
      <c r="CB324" s="287"/>
      <c r="CC324" s="287"/>
      <c r="CD324" s="287"/>
      <c r="CE324" s="287"/>
      <c r="CF324" s="287"/>
      <c r="CG324" s="287"/>
      <c r="CH324" s="287"/>
      <c r="CI324" s="287"/>
      <c r="CJ324" s="287"/>
      <c r="CK324" s="287"/>
      <c r="CL324" s="287"/>
      <c r="CM324" s="287"/>
      <c r="CN324" s="287"/>
      <c r="CO324" s="287"/>
      <c r="CP324" s="287"/>
      <c r="CQ324" s="287"/>
      <c r="CR324" s="287"/>
      <c r="CS324" s="287"/>
      <c r="CT324" s="287"/>
      <c r="CU324" s="287"/>
      <c r="CV324" s="287"/>
      <c r="CW324" s="287"/>
      <c r="CX324" s="287"/>
      <c r="CY324" s="287"/>
      <c r="CZ324" s="287"/>
      <c r="DA324" s="287"/>
      <c r="DB324" s="287"/>
      <c r="DC324" s="287"/>
      <c r="DD324" s="287"/>
      <c r="DE324" s="287"/>
      <c r="DF324" s="287"/>
      <c r="DG324" s="287"/>
      <c r="DH324" s="287"/>
      <c r="DI324" s="287"/>
      <c r="DJ324" s="287"/>
      <c r="DK324" s="287"/>
      <c r="DL324" s="287"/>
      <c r="DM324" s="287"/>
      <c r="DN324" s="287"/>
      <c r="DO324" s="287"/>
      <c r="DP324" s="287"/>
    </row>
    <row r="325" spans="1:120" s="291" customFormat="1" ht="21.75" hidden="1" customHeight="1" x14ac:dyDescent="0.25">
      <c r="A325" s="13"/>
      <c r="C325" s="377"/>
      <c r="D325" s="571" t="s">
        <v>78</v>
      </c>
      <c r="E325" s="571"/>
      <c r="F325" s="571"/>
      <c r="G325" s="285"/>
      <c r="H325" s="374" t="s">
        <v>137</v>
      </c>
      <c r="O325" s="375" t="str">
        <f>IF(P325=1, "&lt;===", "")</f>
        <v/>
      </c>
      <c r="P325" s="3"/>
      <c r="BA325" s="287"/>
      <c r="BB325" s="287"/>
      <c r="BC325" s="287"/>
      <c r="BD325" s="287"/>
      <c r="BE325" s="287"/>
      <c r="BF325" s="287"/>
      <c r="BG325" s="287"/>
      <c r="BH325" s="287"/>
      <c r="BI325" s="287"/>
      <c r="BJ325" s="287"/>
      <c r="BK325" s="287"/>
      <c r="BL325" s="287"/>
      <c r="BM325" s="287"/>
      <c r="BN325" s="287"/>
      <c r="BO325" s="287"/>
      <c r="BP325" s="287"/>
      <c r="BQ325" s="287"/>
      <c r="BR325" s="287"/>
      <c r="BS325" s="287"/>
      <c r="BT325" s="287"/>
      <c r="BU325" s="287"/>
      <c r="BV325" s="287"/>
      <c r="BW325" s="287"/>
      <c r="BX325" s="287"/>
      <c r="BY325" s="287"/>
      <c r="BZ325" s="287"/>
      <c r="CA325" s="287"/>
      <c r="CB325" s="287"/>
      <c r="CC325" s="287"/>
      <c r="CD325" s="287"/>
      <c r="CE325" s="287"/>
      <c r="CF325" s="287"/>
      <c r="CG325" s="287"/>
      <c r="CH325" s="287"/>
      <c r="CI325" s="287"/>
      <c r="CJ325" s="287"/>
      <c r="CK325" s="287"/>
      <c r="CL325" s="287"/>
      <c r="CM325" s="287"/>
      <c r="CN325" s="287"/>
      <c r="CO325" s="287"/>
      <c r="CP325" s="287"/>
      <c r="CQ325" s="287"/>
      <c r="CR325" s="287"/>
      <c r="CS325" s="287"/>
      <c r="CT325" s="287"/>
      <c r="CU325" s="287"/>
      <c r="CV325" s="287"/>
      <c r="CW325" s="287"/>
      <c r="CX325" s="287"/>
      <c r="CY325" s="287"/>
      <c r="CZ325" s="287"/>
      <c r="DA325" s="287"/>
      <c r="DB325" s="287"/>
      <c r="DC325" s="287"/>
      <c r="DD325" s="287"/>
      <c r="DE325" s="287"/>
      <c r="DF325" s="287"/>
      <c r="DG325" s="287"/>
      <c r="DH325" s="287"/>
      <c r="DI325" s="287"/>
      <c r="DJ325" s="287"/>
      <c r="DK325" s="287"/>
      <c r="DL325" s="287"/>
      <c r="DM325" s="287"/>
      <c r="DN325" s="287"/>
      <c r="DO325" s="287"/>
      <c r="DP325" s="287"/>
    </row>
    <row r="326" spans="1:120" s="291" customFormat="1" ht="9.75" hidden="1" customHeight="1" x14ac:dyDescent="0.25">
      <c r="A326" s="13"/>
      <c r="C326" s="377"/>
      <c r="D326" s="377"/>
      <c r="E326" s="377"/>
      <c r="F326" s="377"/>
      <c r="G326" s="377"/>
      <c r="P326" s="3"/>
      <c r="BA326" s="287"/>
      <c r="BB326" s="287"/>
      <c r="BC326" s="287"/>
      <c r="BD326" s="287"/>
      <c r="BE326" s="287"/>
      <c r="BF326" s="287"/>
      <c r="BG326" s="287"/>
      <c r="BH326" s="287"/>
      <c r="BI326" s="287"/>
      <c r="BJ326" s="287"/>
      <c r="BK326" s="287"/>
      <c r="BL326" s="287"/>
      <c r="BM326" s="287"/>
      <c r="BN326" s="287"/>
      <c r="BO326" s="287"/>
      <c r="BP326" s="287"/>
      <c r="BQ326" s="287"/>
      <c r="BR326" s="287"/>
      <c r="BS326" s="287"/>
      <c r="BT326" s="287"/>
      <c r="BU326" s="287"/>
      <c r="BV326" s="287"/>
      <c r="BW326" s="287"/>
      <c r="BX326" s="287"/>
      <c r="BY326" s="287"/>
      <c r="BZ326" s="287"/>
      <c r="CA326" s="287"/>
      <c r="CB326" s="287"/>
      <c r="CC326" s="287"/>
      <c r="CD326" s="287"/>
      <c r="CE326" s="287"/>
      <c r="CF326" s="287"/>
      <c r="CG326" s="287"/>
      <c r="CH326" s="287"/>
      <c r="CI326" s="287"/>
      <c r="CJ326" s="287"/>
      <c r="CK326" s="287"/>
      <c r="CL326" s="287"/>
      <c r="CM326" s="287"/>
      <c r="CN326" s="287"/>
      <c r="CO326" s="287"/>
      <c r="CP326" s="287"/>
      <c r="CQ326" s="287"/>
      <c r="CR326" s="287"/>
      <c r="CS326" s="287"/>
      <c r="CT326" s="287"/>
      <c r="CU326" s="287"/>
      <c r="CV326" s="287"/>
      <c r="CW326" s="287"/>
      <c r="CX326" s="287"/>
      <c r="CY326" s="287"/>
      <c r="CZ326" s="287"/>
      <c r="DA326" s="287"/>
      <c r="DB326" s="287"/>
      <c r="DC326" s="287"/>
      <c r="DD326" s="287"/>
      <c r="DE326" s="287"/>
      <c r="DF326" s="287"/>
      <c r="DG326" s="287"/>
      <c r="DH326" s="287"/>
      <c r="DI326" s="287"/>
      <c r="DJ326" s="287"/>
      <c r="DK326" s="287"/>
      <c r="DL326" s="287"/>
      <c r="DM326" s="287"/>
      <c r="DN326" s="287"/>
      <c r="DO326" s="287"/>
      <c r="DP326" s="287"/>
    </row>
    <row r="327" spans="1:120" s="291" customFormat="1" ht="27" hidden="1" customHeight="1" x14ac:dyDescent="0.25">
      <c r="A327" s="13"/>
      <c r="C327" s="377"/>
      <c r="D327" s="280"/>
      <c r="E327" s="280"/>
      <c r="F327" s="383"/>
      <c r="G327" s="391">
        <f>SUM(G321,G323,G325)</f>
        <v>0</v>
      </c>
      <c r="H327" s="392" t="s">
        <v>79</v>
      </c>
      <c r="I327" s="393" t="str">
        <f>IF(G327&gt;100,"
&lt;== Total cannot be greater than 100%","")</f>
        <v/>
      </c>
      <c r="O327" s="387" t="str">
        <f>IF(P327=1, "&lt;===", "")</f>
        <v/>
      </c>
      <c r="P327" s="364" t="str">
        <f>IF(AND(I327&lt;&gt;"",D432&lt;&gt;""), 1, "")</f>
        <v/>
      </c>
      <c r="BA327" s="287"/>
      <c r="BB327" s="287"/>
      <c r="BC327" s="287"/>
      <c r="BD327" s="287"/>
      <c r="BE327" s="287"/>
      <c r="BF327" s="287"/>
      <c r="BG327" s="287"/>
      <c r="BH327" s="287"/>
      <c r="BI327" s="287"/>
      <c r="BJ327" s="287"/>
      <c r="BK327" s="287"/>
      <c r="BL327" s="287"/>
      <c r="BM327" s="287"/>
      <c r="BN327" s="287"/>
      <c r="BO327" s="287"/>
      <c r="BP327" s="287"/>
      <c r="BQ327" s="287"/>
      <c r="BR327" s="287"/>
      <c r="BS327" s="287"/>
      <c r="BT327" s="287"/>
      <c r="BU327" s="287"/>
      <c r="BV327" s="287"/>
      <c r="BW327" s="287"/>
      <c r="BX327" s="287"/>
      <c r="BY327" s="287"/>
      <c r="BZ327" s="287"/>
      <c r="CA327" s="287"/>
      <c r="CB327" s="287"/>
      <c r="CC327" s="287"/>
      <c r="CD327" s="287"/>
      <c r="CE327" s="287"/>
      <c r="CF327" s="287"/>
      <c r="CG327" s="287"/>
      <c r="CH327" s="287"/>
      <c r="CI327" s="287"/>
      <c r="CJ327" s="287"/>
      <c r="CK327" s="287"/>
      <c r="CL327" s="287"/>
      <c r="CM327" s="287"/>
      <c r="CN327" s="287"/>
      <c r="CO327" s="287"/>
      <c r="CP327" s="287"/>
      <c r="CQ327" s="287"/>
      <c r="CR327" s="287"/>
      <c r="CS327" s="287"/>
      <c r="CT327" s="287"/>
      <c r="CU327" s="287"/>
      <c r="CV327" s="287"/>
      <c r="CW327" s="287"/>
      <c r="CX327" s="287"/>
      <c r="CY327" s="287"/>
      <c r="CZ327" s="287"/>
      <c r="DA327" s="287"/>
      <c r="DB327" s="287"/>
      <c r="DC327" s="287"/>
      <c r="DD327" s="287"/>
      <c r="DE327" s="287"/>
      <c r="DF327" s="287"/>
      <c r="DG327" s="287"/>
      <c r="DH327" s="287"/>
      <c r="DI327" s="287"/>
      <c r="DJ327" s="287"/>
      <c r="DK327" s="287"/>
      <c r="DL327" s="287"/>
      <c r="DM327" s="287"/>
      <c r="DN327" s="287"/>
      <c r="DO327" s="287"/>
      <c r="DP327" s="287"/>
    </row>
    <row r="328" spans="1:120" s="291" customFormat="1" ht="119.25" customHeight="1" x14ac:dyDescent="0.25">
      <c r="A328" s="13"/>
      <c r="B328" s="608" t="str">
        <f>"AS PART OF AN ON-GOING RESEARCH PROJECT TO BETTER UNDERSTAND THE CHARACTERISTICS OF PARAMEDIC PROGRAMS RELATED TO "&amp;"DISTANCE EDUCATION AND PROGRAM PERSONNEL, PLEASE ANSWER THE FOLLOWING QUESTIONS CONCERNING THE CURRENT PROGRAM STATUS. 
Responses are not linked to the "&amp;D4&amp;" cohort(s) outcomes being reported, but as the program exists currently, today. 
The responses to the following questions will in no way impact the Paramedic program's accreditation status."</f>
        <v>AS PART OF AN ON-GOING RESEARCH PROJECT TO BETTER UNDERSTAND THE CHARACTERISTICS OF PARAMEDIC PROGRAMS RELATED TO DISTANCE EDUCATION AND PROGRAM PERSONNEL, PLEASE ANSWER THE FOLLOWING QUESTIONS CONCERNING THE CURRENT PROGRAM STATUS. 
Responses are not linked to the 2022 cohort(s) outcomes being reported, but as the program exists currently, today. 
The responses to the following questions will in no way impact the Paramedic program's accreditation status.</v>
      </c>
      <c r="C328" s="609"/>
      <c r="D328" s="609"/>
      <c r="E328" s="609"/>
      <c r="F328" s="609"/>
      <c r="G328" s="609"/>
      <c r="H328" s="609"/>
      <c r="I328" s="609"/>
      <c r="J328" s="609"/>
      <c r="K328" s="609"/>
      <c r="L328" s="609"/>
      <c r="M328" s="609"/>
      <c r="N328" s="609"/>
      <c r="P328" s="3"/>
      <c r="BA328" s="287"/>
      <c r="BB328" s="287"/>
      <c r="BC328" s="287"/>
      <c r="BD328" s="287"/>
      <c r="BE328" s="287"/>
      <c r="BF328" s="287"/>
      <c r="BG328" s="287"/>
      <c r="BH328" s="287"/>
      <c r="BI328" s="287"/>
      <c r="BJ328" s="287"/>
      <c r="BK328" s="287"/>
      <c r="BL328" s="287"/>
      <c r="BM328" s="287"/>
      <c r="BN328" s="287"/>
      <c r="BO328" s="287"/>
      <c r="BP328" s="287"/>
      <c r="BQ328" s="287"/>
      <c r="BR328" s="287"/>
      <c r="BS328" s="287"/>
      <c r="BT328" s="287"/>
      <c r="BU328" s="287"/>
      <c r="BV328" s="287"/>
      <c r="BW328" s="287"/>
      <c r="BX328" s="287"/>
      <c r="BY328" s="287"/>
      <c r="BZ328" s="287"/>
      <c r="CA328" s="287"/>
      <c r="CB328" s="287"/>
      <c r="CC328" s="287"/>
      <c r="CD328" s="287"/>
      <c r="CE328" s="287"/>
      <c r="CF328" s="287"/>
      <c r="CG328" s="287"/>
      <c r="CH328" s="287"/>
      <c r="CI328" s="287"/>
      <c r="CJ328" s="287"/>
      <c r="CK328" s="287"/>
      <c r="CL328" s="287"/>
      <c r="CM328" s="287"/>
      <c r="CN328" s="287"/>
      <c r="CO328" s="287"/>
      <c r="CP328" s="287"/>
      <c r="CQ328" s="287"/>
      <c r="CR328" s="287"/>
      <c r="CS328" s="287"/>
      <c r="CT328" s="287"/>
      <c r="CU328" s="287"/>
      <c r="CV328" s="287"/>
      <c r="CW328" s="287"/>
      <c r="CX328" s="287"/>
      <c r="CY328" s="287"/>
      <c r="CZ328" s="287"/>
      <c r="DA328" s="287"/>
      <c r="DB328" s="287"/>
      <c r="DC328" s="287"/>
      <c r="DD328" s="287"/>
      <c r="DE328" s="287"/>
      <c r="DF328" s="287"/>
      <c r="DG328" s="287"/>
      <c r="DH328" s="287"/>
      <c r="DI328" s="287"/>
      <c r="DJ328" s="287"/>
      <c r="DK328" s="287"/>
      <c r="DL328" s="287"/>
      <c r="DM328" s="287"/>
      <c r="DN328" s="287"/>
      <c r="DO328" s="287"/>
      <c r="DP328" s="287"/>
    </row>
    <row r="329" spans="1:120" ht="21.75" customHeight="1" x14ac:dyDescent="0.25">
      <c r="B329" s="13"/>
      <c r="C329" s="13"/>
      <c r="D329" s="13"/>
      <c r="E329" s="13"/>
      <c r="F329" s="13"/>
      <c r="G329" s="13"/>
      <c r="H329" s="13"/>
      <c r="I329" s="13"/>
      <c r="J329" s="13"/>
      <c r="K329" s="13"/>
      <c r="L329" s="13"/>
      <c r="M329" s="13"/>
      <c r="N329" s="13"/>
      <c r="BA329" s="287"/>
      <c r="BB329" s="287"/>
      <c r="BC329" s="287"/>
      <c r="BD329" s="287"/>
      <c r="BE329" s="287"/>
      <c r="BF329" s="287"/>
      <c r="BG329" s="287"/>
      <c r="BH329" s="287"/>
      <c r="BI329" s="287"/>
      <c r="BJ329" s="287"/>
      <c r="BK329" s="287"/>
      <c r="BL329" s="287"/>
      <c r="BM329" s="287"/>
      <c r="BN329" s="287"/>
      <c r="BO329" s="287"/>
      <c r="BP329" s="287"/>
      <c r="BQ329" s="287"/>
      <c r="BR329" s="287"/>
      <c r="BS329" s="287"/>
      <c r="BT329" s="287"/>
      <c r="BU329" s="287"/>
      <c r="BV329" s="287"/>
      <c r="BW329" s="287"/>
      <c r="BX329" s="287"/>
      <c r="BY329" s="287"/>
      <c r="BZ329" s="287"/>
      <c r="CA329" s="287"/>
      <c r="CB329" s="287"/>
      <c r="CC329" s="287"/>
      <c r="CD329" s="287"/>
      <c r="CE329" s="287"/>
      <c r="CF329" s="287"/>
      <c r="CG329" s="287"/>
      <c r="CH329" s="287"/>
      <c r="CI329" s="287"/>
      <c r="CJ329" s="287"/>
      <c r="CK329" s="287"/>
      <c r="CL329" s="287"/>
      <c r="CM329" s="287"/>
      <c r="CN329" s="287"/>
      <c r="CO329" s="287"/>
      <c r="CP329" s="287"/>
      <c r="CQ329" s="287"/>
      <c r="CR329" s="287"/>
      <c r="CS329" s="287"/>
      <c r="CT329" s="287"/>
      <c r="CU329" s="287"/>
      <c r="CV329" s="287"/>
      <c r="CW329" s="287"/>
      <c r="CX329" s="287"/>
      <c r="CY329" s="287"/>
      <c r="CZ329" s="287"/>
      <c r="DA329" s="287"/>
      <c r="DB329" s="287"/>
      <c r="DC329" s="287"/>
      <c r="DD329" s="287"/>
      <c r="DE329" s="287"/>
      <c r="DF329" s="287"/>
      <c r="DG329" s="287"/>
      <c r="DH329" s="287"/>
      <c r="DI329" s="287"/>
      <c r="DJ329" s="287"/>
      <c r="DK329" s="287"/>
      <c r="DL329" s="287"/>
      <c r="DM329" s="287"/>
      <c r="DN329" s="287"/>
      <c r="DO329" s="287"/>
      <c r="DP329" s="287"/>
    </row>
    <row r="330" spans="1:120" s="112" customFormat="1" ht="36.75" customHeight="1" x14ac:dyDescent="0.25">
      <c r="A330" s="13"/>
      <c r="B330" s="277">
        <v>6</v>
      </c>
      <c r="C330" s="569" t="s">
        <v>155</v>
      </c>
      <c r="D330" s="569"/>
      <c r="E330" s="569"/>
      <c r="F330" s="576"/>
      <c r="G330" s="381"/>
      <c r="I330" s="13"/>
      <c r="J330" s="378"/>
      <c r="K330" s="13"/>
      <c r="O330" s="464"/>
      <c r="P330" s="364"/>
      <c r="BA330" s="287"/>
      <c r="BB330" s="287"/>
      <c r="BC330" s="287"/>
      <c r="BD330" s="287"/>
      <c r="BE330" s="287"/>
      <c r="BF330" s="287"/>
      <c r="BG330" s="287"/>
      <c r="BH330" s="287"/>
      <c r="BI330" s="287"/>
      <c r="BJ330" s="287"/>
      <c r="BK330" s="287"/>
      <c r="BL330" s="287"/>
      <c r="BM330" s="287"/>
      <c r="BN330" s="287"/>
      <c r="BO330" s="287"/>
      <c r="BP330" s="287"/>
      <c r="BQ330" s="287"/>
      <c r="BR330" s="287"/>
      <c r="BS330" s="287"/>
      <c r="BT330" s="287"/>
      <c r="BU330" s="287"/>
      <c r="BV330" s="287"/>
      <c r="BW330" s="287"/>
      <c r="BX330" s="287"/>
      <c r="BY330" s="287"/>
      <c r="BZ330" s="287"/>
      <c r="CA330" s="287"/>
      <c r="CB330" s="287"/>
      <c r="CC330" s="287"/>
      <c r="CD330" s="287"/>
      <c r="CE330" s="287"/>
      <c r="CF330" s="287"/>
      <c r="CG330" s="287"/>
      <c r="CH330" s="287"/>
      <c r="CI330" s="287"/>
      <c r="CJ330" s="287"/>
      <c r="CK330" s="287"/>
      <c r="CL330" s="287"/>
      <c r="CM330" s="287"/>
      <c r="CN330" s="287"/>
      <c r="CO330" s="287"/>
      <c r="CP330" s="287"/>
      <c r="CQ330" s="287"/>
      <c r="CR330" s="287"/>
      <c r="CS330" s="287"/>
      <c r="CT330" s="287"/>
      <c r="CU330" s="287"/>
      <c r="CV330" s="287"/>
      <c r="CW330" s="287"/>
      <c r="CX330" s="287"/>
      <c r="CY330" s="287"/>
      <c r="CZ330" s="287"/>
      <c r="DA330" s="287"/>
      <c r="DB330" s="287"/>
      <c r="DC330" s="287"/>
      <c r="DD330" s="287"/>
      <c r="DE330" s="287"/>
      <c r="DF330" s="287"/>
      <c r="DG330" s="287"/>
      <c r="DH330" s="287"/>
      <c r="DI330" s="287"/>
      <c r="DJ330" s="287"/>
      <c r="DK330" s="287"/>
      <c r="DL330" s="287"/>
      <c r="DM330" s="287"/>
      <c r="DN330" s="287"/>
      <c r="DO330" s="287"/>
      <c r="DP330" s="287"/>
    </row>
    <row r="331" spans="1:120" s="536" customFormat="1" ht="36" customHeight="1" x14ac:dyDescent="0.25">
      <c r="A331" s="204"/>
      <c r="C331" s="537"/>
      <c r="D331" s="607" t="s">
        <v>167</v>
      </c>
      <c r="E331" s="607"/>
      <c r="F331" s="607"/>
      <c r="G331" s="607"/>
      <c r="H331" s="607"/>
      <c r="I331" s="607"/>
      <c r="J331" s="204"/>
      <c r="K331" s="204"/>
      <c r="P331" s="386"/>
      <c r="BA331" s="437"/>
      <c r="BB331" s="437"/>
      <c r="BC331" s="437"/>
      <c r="BD331" s="437"/>
      <c r="BE331" s="437"/>
      <c r="BF331" s="437"/>
      <c r="BG331" s="437"/>
      <c r="BH331" s="437"/>
      <c r="BI331" s="437"/>
      <c r="BJ331" s="437"/>
      <c r="BK331" s="437"/>
      <c r="BL331" s="437"/>
      <c r="BM331" s="437"/>
      <c r="BN331" s="437"/>
      <c r="BO331" s="437"/>
      <c r="BP331" s="437"/>
      <c r="BQ331" s="437"/>
      <c r="BR331" s="437"/>
      <c r="BS331" s="437"/>
      <c r="BT331" s="437"/>
      <c r="BU331" s="437"/>
      <c r="BV331" s="437"/>
      <c r="BW331" s="437"/>
      <c r="BX331" s="437"/>
      <c r="BY331" s="437"/>
      <c r="BZ331" s="437"/>
      <c r="CA331" s="437"/>
      <c r="CB331" s="437"/>
      <c r="CC331" s="437"/>
      <c r="CD331" s="437"/>
      <c r="CE331" s="437"/>
      <c r="CF331" s="437"/>
      <c r="CG331" s="437"/>
      <c r="CH331" s="437"/>
      <c r="CI331" s="437"/>
      <c r="CJ331" s="437"/>
      <c r="CK331" s="437"/>
      <c r="CL331" s="437"/>
      <c r="CM331" s="437"/>
      <c r="CN331" s="437"/>
      <c r="CO331" s="437"/>
      <c r="CP331" s="437"/>
      <c r="CQ331" s="437"/>
      <c r="CR331" s="437"/>
      <c r="CS331" s="437"/>
      <c r="CT331" s="437"/>
      <c r="CU331" s="437"/>
      <c r="CV331" s="437"/>
      <c r="CW331" s="437"/>
      <c r="CX331" s="437"/>
      <c r="CY331" s="437"/>
      <c r="CZ331" s="437"/>
      <c r="DA331" s="437"/>
      <c r="DB331" s="437"/>
      <c r="DC331" s="437"/>
      <c r="DD331" s="437"/>
      <c r="DE331" s="437"/>
      <c r="DF331" s="437"/>
      <c r="DG331" s="437"/>
      <c r="DH331" s="437"/>
      <c r="DI331" s="437"/>
      <c r="DJ331" s="437"/>
      <c r="DK331" s="437"/>
      <c r="DL331" s="437"/>
      <c r="DM331" s="437"/>
      <c r="DN331" s="437"/>
      <c r="DO331" s="437"/>
      <c r="DP331" s="437"/>
    </row>
    <row r="332" spans="1:120" s="427" customFormat="1" ht="108.75" customHeight="1" x14ac:dyDescent="0.25">
      <c r="A332" s="13"/>
      <c r="C332" s="413"/>
      <c r="D332" s="569" t="s">
        <v>183</v>
      </c>
      <c r="E332" s="569"/>
      <c r="F332" s="569"/>
      <c r="G332" s="285"/>
      <c r="H332" s="534" t="s">
        <v>137</v>
      </c>
      <c r="O332" s="475" t="str">
        <f>IF(P332=1, "&lt;===", "")</f>
        <v/>
      </c>
      <c r="P332" s="3" t="str">
        <f>IF(AND(G332="",D432&lt;&gt;""), 1, "")</f>
        <v/>
      </c>
      <c r="BA332" s="287"/>
      <c r="BB332" s="287"/>
      <c r="BC332" s="287"/>
      <c r="BD332" s="287"/>
      <c r="BE332" s="287"/>
      <c r="BF332" s="287"/>
      <c r="BG332" s="287"/>
      <c r="BH332" s="287"/>
      <c r="BI332" s="287"/>
      <c r="BJ332" s="287"/>
      <c r="BK332" s="287"/>
      <c r="BL332" s="287"/>
      <c r="BM332" s="287"/>
      <c r="BN332" s="287"/>
      <c r="BO332" s="287"/>
      <c r="BP332" s="287"/>
      <c r="BQ332" s="287"/>
      <c r="BR332" s="287"/>
      <c r="BS332" s="287"/>
      <c r="BT332" s="287"/>
      <c r="BU332" s="287"/>
      <c r="BV332" s="287"/>
      <c r="BW332" s="287"/>
      <c r="BX332" s="287"/>
      <c r="BY332" s="287"/>
      <c r="BZ332" s="287"/>
      <c r="CA332" s="287"/>
      <c r="CB332" s="287"/>
      <c r="CC332" s="287"/>
      <c r="CD332" s="287"/>
      <c r="CE332" s="287"/>
      <c r="CF332" s="287"/>
      <c r="CG332" s="287"/>
      <c r="CH332" s="287"/>
      <c r="CI332" s="287"/>
      <c r="CJ332" s="287"/>
      <c r="CK332" s="287"/>
      <c r="CL332" s="287"/>
      <c r="CM332" s="287"/>
      <c r="CN332" s="287"/>
      <c r="CO332" s="287"/>
      <c r="CP332" s="287"/>
      <c r="CQ332" s="287"/>
      <c r="CR332" s="287"/>
      <c r="CS332" s="287"/>
      <c r="CT332" s="287"/>
      <c r="CU332" s="287"/>
      <c r="CV332" s="287"/>
      <c r="CW332" s="287"/>
      <c r="CX332" s="287"/>
      <c r="CY332" s="287"/>
      <c r="CZ332" s="287"/>
      <c r="DA332" s="287"/>
      <c r="DB332" s="287"/>
      <c r="DC332" s="287"/>
      <c r="DD332" s="287"/>
      <c r="DE332" s="287"/>
      <c r="DF332" s="287"/>
      <c r="DG332" s="287"/>
      <c r="DH332" s="287"/>
      <c r="DI332" s="287"/>
      <c r="DJ332" s="287"/>
      <c r="DK332" s="287"/>
      <c r="DL332" s="287"/>
      <c r="DM332" s="287"/>
      <c r="DN332" s="287"/>
      <c r="DO332" s="287"/>
      <c r="DP332" s="287"/>
    </row>
    <row r="333" spans="1:120" s="427" customFormat="1" ht="10.5" customHeight="1" x14ac:dyDescent="0.25">
      <c r="A333" s="13"/>
      <c r="D333" s="201"/>
      <c r="E333" s="201"/>
      <c r="F333" s="201"/>
      <c r="G333" s="381"/>
      <c r="P333" s="3"/>
      <c r="BA333" s="287"/>
      <c r="BB333" s="287"/>
      <c r="BC333" s="287"/>
      <c r="BD333" s="287"/>
      <c r="BE333" s="287"/>
      <c r="BF333" s="287"/>
      <c r="BG333" s="287"/>
      <c r="BH333" s="287"/>
      <c r="BI333" s="287"/>
      <c r="BJ333" s="287"/>
      <c r="BK333" s="287"/>
      <c r="BL333" s="287"/>
      <c r="BM333" s="287"/>
      <c r="BN333" s="287"/>
      <c r="BO333" s="287"/>
      <c r="BP333" s="287"/>
      <c r="BQ333" s="287"/>
      <c r="BR333" s="287"/>
      <c r="BS333" s="287"/>
      <c r="BT333" s="287"/>
      <c r="BU333" s="287"/>
      <c r="BV333" s="287"/>
      <c r="BW333" s="287"/>
      <c r="BX333" s="287"/>
      <c r="BY333" s="287"/>
      <c r="BZ333" s="287"/>
      <c r="CA333" s="287"/>
      <c r="CB333" s="287"/>
      <c r="CC333" s="287"/>
      <c r="CD333" s="287"/>
      <c r="CE333" s="287"/>
      <c r="CF333" s="287"/>
      <c r="CG333" s="287"/>
      <c r="CH333" s="287"/>
      <c r="CI333" s="287"/>
      <c r="CJ333" s="287"/>
      <c r="CK333" s="287"/>
      <c r="CL333" s="287"/>
      <c r="CM333" s="287"/>
      <c r="CN333" s="287"/>
      <c r="CO333" s="287"/>
      <c r="CP333" s="287"/>
      <c r="CQ333" s="287"/>
      <c r="CR333" s="287"/>
      <c r="CS333" s="287"/>
      <c r="CT333" s="287"/>
      <c r="CU333" s="287"/>
      <c r="CV333" s="287"/>
      <c r="CW333" s="287"/>
      <c r="CX333" s="287"/>
      <c r="CY333" s="287"/>
      <c r="CZ333" s="287"/>
      <c r="DA333" s="287"/>
      <c r="DB333" s="287"/>
      <c r="DC333" s="287"/>
      <c r="DD333" s="287"/>
      <c r="DE333" s="287"/>
      <c r="DF333" s="287"/>
      <c r="DG333" s="287"/>
      <c r="DH333" s="287"/>
      <c r="DI333" s="287"/>
      <c r="DJ333" s="287"/>
      <c r="DK333" s="287"/>
      <c r="DL333" s="287"/>
      <c r="DM333" s="287"/>
      <c r="DN333" s="287"/>
      <c r="DO333" s="287"/>
      <c r="DP333" s="287"/>
    </row>
    <row r="334" spans="1:120" s="427" customFormat="1" ht="99.75" customHeight="1" x14ac:dyDescent="0.25">
      <c r="A334" s="13"/>
      <c r="C334" s="535"/>
      <c r="D334" s="569" t="s">
        <v>184</v>
      </c>
      <c r="E334" s="569"/>
      <c r="F334" s="570"/>
      <c r="G334" s="285"/>
      <c r="H334" s="534" t="s">
        <v>137</v>
      </c>
      <c r="O334" s="475" t="str">
        <f>IF(P334=1, "&lt;===", "")</f>
        <v/>
      </c>
      <c r="P334" s="386" t="str">
        <f>IF(AND(G334="",D432&lt;&gt;""), 1, "")</f>
        <v/>
      </c>
      <c r="BA334" s="287"/>
      <c r="BB334" s="287"/>
      <c r="BC334" s="287"/>
      <c r="BD334" s="287"/>
      <c r="BE334" s="287"/>
      <c r="BF334" s="287"/>
      <c r="BG334" s="287"/>
      <c r="BH334" s="287"/>
      <c r="BI334" s="287"/>
      <c r="BJ334" s="287"/>
      <c r="BK334" s="287"/>
      <c r="BL334" s="287"/>
      <c r="BM334" s="287"/>
      <c r="BN334" s="287"/>
      <c r="BO334" s="287"/>
      <c r="BP334" s="287"/>
      <c r="BQ334" s="287"/>
      <c r="BR334" s="287"/>
      <c r="BS334" s="287"/>
      <c r="BT334" s="287"/>
      <c r="BU334" s="287"/>
      <c r="BV334" s="287"/>
      <c r="BW334" s="287"/>
      <c r="BX334" s="287"/>
      <c r="BY334" s="287"/>
      <c r="BZ334" s="287"/>
      <c r="CA334" s="287"/>
      <c r="CB334" s="287"/>
      <c r="CC334" s="287"/>
      <c r="CD334" s="287"/>
      <c r="CE334" s="287"/>
      <c r="CF334" s="287"/>
      <c r="CG334" s="287"/>
      <c r="CH334" s="287"/>
      <c r="CI334" s="287"/>
      <c r="CJ334" s="287"/>
      <c r="CK334" s="287"/>
      <c r="CL334" s="287"/>
      <c r="CM334" s="287"/>
      <c r="CN334" s="287"/>
      <c r="CO334" s="287"/>
      <c r="CP334" s="287"/>
      <c r="CQ334" s="287"/>
      <c r="CR334" s="287"/>
      <c r="CS334" s="287"/>
      <c r="CT334" s="287"/>
      <c r="CU334" s="287"/>
      <c r="CV334" s="287"/>
      <c r="CW334" s="287"/>
      <c r="CX334" s="287"/>
      <c r="CY334" s="287"/>
      <c r="CZ334" s="287"/>
      <c r="DA334" s="287"/>
      <c r="DB334" s="287"/>
      <c r="DC334" s="287"/>
      <c r="DD334" s="287"/>
      <c r="DE334" s="287"/>
      <c r="DF334" s="287"/>
      <c r="DG334" s="287"/>
      <c r="DH334" s="287"/>
      <c r="DI334" s="287"/>
      <c r="DJ334" s="287"/>
      <c r="DK334" s="287"/>
      <c r="DL334" s="287"/>
      <c r="DM334" s="287"/>
      <c r="DN334" s="287"/>
      <c r="DO334" s="287"/>
      <c r="DP334" s="287"/>
    </row>
    <row r="335" spans="1:120" s="427" customFormat="1" ht="27" customHeight="1" x14ac:dyDescent="0.25">
      <c r="A335" s="13"/>
      <c r="C335" s="413"/>
      <c r="D335" s="280"/>
      <c r="E335" s="280"/>
      <c r="F335" s="383"/>
      <c r="G335" s="558">
        <f>SUM(G332,G334)</f>
        <v>0</v>
      </c>
      <c r="H335" s="557" t="s">
        <v>79</v>
      </c>
      <c r="I335" s="809" t="str">
        <f>IF(AND(G332&lt;&gt;"",G334&lt;&gt;"",G335&gt;100),"
&lt;== Total cannot be greater than 100%",IF(AND(G332&lt;&gt;"",G334&lt;&gt;"",G335&lt;&gt;0,G335&lt;100),"
&lt;== Total cannot be less than 100%",IF(AND(G332=100,G334=""),"
&lt;== Hybrid delivery must contain a number","")))</f>
        <v/>
      </c>
      <c r="J335" s="809"/>
      <c r="K335" s="809"/>
      <c r="L335" s="809"/>
      <c r="O335" s="475" t="str">
        <f>IF(P335=1, "&lt;===", "")</f>
        <v/>
      </c>
      <c r="P335" s="540" t="str">
        <f>IF(AND(I335&lt;&gt;"",D432&lt;&gt;""), 1, "")</f>
        <v/>
      </c>
      <c r="BA335" s="287"/>
      <c r="BB335" s="287"/>
      <c r="BC335" s="287"/>
      <c r="BD335" s="287"/>
      <c r="BE335" s="287"/>
      <c r="BF335" s="287"/>
      <c r="BG335" s="287"/>
      <c r="BH335" s="287"/>
      <c r="BI335" s="287"/>
      <c r="BJ335" s="287"/>
      <c r="BK335" s="287"/>
      <c r="BL335" s="287"/>
      <c r="BM335" s="287"/>
      <c r="BN335" s="287"/>
      <c r="BO335" s="287"/>
      <c r="BP335" s="287"/>
      <c r="BQ335" s="287"/>
      <c r="BR335" s="287"/>
      <c r="BS335" s="287"/>
      <c r="BT335" s="287"/>
      <c r="BU335" s="287"/>
      <c r="BV335" s="287"/>
      <c r="BW335" s="287"/>
      <c r="BX335" s="287"/>
      <c r="BY335" s="287"/>
      <c r="BZ335" s="287"/>
      <c r="CA335" s="287"/>
      <c r="CB335" s="287"/>
      <c r="CC335" s="287"/>
      <c r="CD335" s="287"/>
      <c r="CE335" s="287"/>
      <c r="CF335" s="287"/>
      <c r="CG335" s="287"/>
      <c r="CH335" s="287"/>
      <c r="CI335" s="287"/>
      <c r="CJ335" s="287"/>
      <c r="CK335" s="287"/>
      <c r="CL335" s="287"/>
      <c r="CM335" s="287"/>
      <c r="CN335" s="287"/>
      <c r="CO335" s="287"/>
      <c r="CP335" s="287"/>
      <c r="CQ335" s="287"/>
      <c r="CR335" s="287"/>
      <c r="CS335" s="287"/>
      <c r="CT335" s="287"/>
      <c r="CU335" s="287"/>
      <c r="CV335" s="287"/>
      <c r="CW335" s="287"/>
      <c r="CX335" s="287"/>
      <c r="CY335" s="287"/>
      <c r="CZ335" s="287"/>
      <c r="DA335" s="287"/>
      <c r="DB335" s="287"/>
      <c r="DC335" s="287"/>
      <c r="DD335" s="287"/>
      <c r="DE335" s="287"/>
      <c r="DF335" s="287"/>
      <c r="DG335" s="287"/>
      <c r="DH335" s="287"/>
      <c r="DI335" s="287"/>
      <c r="DJ335" s="287"/>
      <c r="DK335" s="287"/>
      <c r="DL335" s="287"/>
      <c r="DM335" s="287"/>
      <c r="DN335" s="287"/>
      <c r="DO335" s="287"/>
      <c r="DP335" s="287"/>
    </row>
    <row r="336" spans="1:120" ht="11.25" customHeight="1" x14ac:dyDescent="0.25">
      <c r="C336" s="573"/>
      <c r="D336" s="573"/>
      <c r="E336" s="573"/>
      <c r="F336" s="573"/>
      <c r="G336" s="23"/>
      <c r="H336" s="23"/>
      <c r="I336" s="23"/>
      <c r="J336" s="23"/>
      <c r="K336" s="23"/>
      <c r="L336" s="23"/>
      <c r="M336" s="23"/>
      <c r="BA336" s="287"/>
      <c r="BB336" s="287"/>
      <c r="BC336" s="287"/>
      <c r="BD336" s="287"/>
      <c r="BE336" s="287"/>
      <c r="BF336" s="287"/>
      <c r="BG336" s="287"/>
      <c r="BH336" s="287"/>
      <c r="BI336" s="287"/>
      <c r="BJ336" s="287"/>
      <c r="BK336" s="287"/>
      <c r="BL336" s="287"/>
      <c r="BM336" s="287"/>
      <c r="BN336" s="287"/>
      <c r="BO336" s="287"/>
      <c r="BP336" s="287"/>
      <c r="BQ336" s="287"/>
      <c r="BR336" s="287"/>
      <c r="BS336" s="287"/>
      <c r="BT336" s="287"/>
      <c r="BU336" s="287"/>
      <c r="BV336" s="287"/>
      <c r="BW336" s="287"/>
      <c r="BX336" s="287"/>
      <c r="BY336" s="287"/>
      <c r="BZ336" s="287"/>
      <c r="CA336" s="287"/>
      <c r="CB336" s="287"/>
      <c r="CC336" s="287"/>
      <c r="CD336" s="287"/>
      <c r="CE336" s="287"/>
      <c r="CF336" s="287"/>
      <c r="CG336" s="287"/>
      <c r="CH336" s="287"/>
      <c r="CI336" s="287"/>
      <c r="CJ336" s="287"/>
      <c r="CK336" s="287"/>
      <c r="CL336" s="287"/>
      <c r="CM336" s="287"/>
      <c r="CN336" s="287"/>
      <c r="CO336" s="287"/>
      <c r="CP336" s="287"/>
      <c r="CQ336" s="287"/>
      <c r="CR336" s="287"/>
      <c r="CS336" s="287"/>
      <c r="CT336" s="287"/>
      <c r="CU336" s="287"/>
      <c r="CV336" s="287"/>
      <c r="CW336" s="287"/>
      <c r="CX336" s="287"/>
      <c r="CY336" s="287"/>
      <c r="CZ336" s="287"/>
      <c r="DA336" s="287"/>
      <c r="DB336" s="287"/>
      <c r="DC336" s="287"/>
      <c r="DD336" s="287"/>
      <c r="DE336" s="287"/>
      <c r="DF336" s="287"/>
      <c r="DG336" s="287"/>
      <c r="DH336" s="287"/>
      <c r="DI336" s="287"/>
      <c r="DJ336" s="287"/>
      <c r="DK336" s="287"/>
      <c r="DL336" s="287"/>
      <c r="DM336" s="287"/>
      <c r="DN336" s="287"/>
      <c r="DO336" s="287"/>
      <c r="DP336" s="287"/>
    </row>
    <row r="337" spans="1:120" ht="8.25" customHeight="1" x14ac:dyDescent="0.25">
      <c r="C337" s="758"/>
      <c r="D337" s="758"/>
      <c r="E337" s="758"/>
      <c r="F337" s="758"/>
      <c r="G337" s="427"/>
      <c r="H337" s="23"/>
      <c r="I337" s="23"/>
      <c r="J337" s="23"/>
      <c r="K337" s="23"/>
      <c r="L337" s="23"/>
      <c r="M337" s="23"/>
      <c r="O337" s="379"/>
      <c r="P337" s="364"/>
      <c r="BA337" s="287"/>
      <c r="BB337" s="287"/>
      <c r="BC337" s="287"/>
      <c r="BD337" s="287"/>
      <c r="BE337" s="287"/>
      <c r="BF337" s="287"/>
      <c r="BG337" s="287"/>
      <c r="BH337" s="287"/>
      <c r="BI337" s="287"/>
      <c r="BJ337" s="287"/>
      <c r="BK337" s="287"/>
      <c r="BL337" s="287"/>
      <c r="BM337" s="287"/>
      <c r="BN337" s="287"/>
      <c r="BO337" s="287"/>
      <c r="BP337" s="287"/>
      <c r="BQ337" s="287"/>
      <c r="BR337" s="287"/>
      <c r="BS337" s="287"/>
      <c r="BT337" s="287"/>
      <c r="BU337" s="287"/>
      <c r="BV337" s="287"/>
      <c r="BW337" s="287"/>
      <c r="BX337" s="287"/>
      <c r="BY337" s="287"/>
      <c r="BZ337" s="287"/>
      <c r="CA337" s="287"/>
      <c r="CB337" s="287"/>
      <c r="CC337" s="287"/>
      <c r="CD337" s="287"/>
      <c r="CE337" s="287"/>
      <c r="CF337" s="287"/>
      <c r="CG337" s="287"/>
      <c r="CH337" s="287"/>
      <c r="CI337" s="287"/>
      <c r="CJ337" s="287"/>
      <c r="CK337" s="287"/>
      <c r="CL337" s="287"/>
      <c r="CM337" s="287"/>
      <c r="CN337" s="287"/>
      <c r="CO337" s="287"/>
      <c r="CP337" s="287"/>
      <c r="CQ337" s="287"/>
      <c r="CR337" s="287"/>
      <c r="CS337" s="287"/>
      <c r="CT337" s="287"/>
      <c r="CU337" s="287"/>
      <c r="CV337" s="287"/>
      <c r="CW337" s="287"/>
      <c r="CX337" s="287"/>
      <c r="CY337" s="287"/>
      <c r="CZ337" s="287"/>
      <c r="DA337" s="287"/>
      <c r="DB337" s="287"/>
      <c r="DC337" s="287"/>
      <c r="DD337" s="287"/>
      <c r="DE337" s="287"/>
      <c r="DF337" s="287"/>
      <c r="DG337" s="287"/>
      <c r="DH337" s="287"/>
      <c r="DI337" s="287"/>
      <c r="DJ337" s="287"/>
      <c r="DK337" s="287"/>
      <c r="DL337" s="287"/>
      <c r="DM337" s="287"/>
      <c r="DN337" s="287"/>
      <c r="DO337" s="287"/>
      <c r="DP337" s="287"/>
    </row>
    <row r="338" spans="1:120" s="287" customFormat="1" ht="16.5" customHeight="1" x14ac:dyDescent="0.25">
      <c r="A338" s="521"/>
      <c r="C338" s="522"/>
      <c r="D338" s="522"/>
      <c r="E338" s="522"/>
      <c r="F338" s="522"/>
      <c r="G338" s="522"/>
      <c r="O338" s="509"/>
      <c r="P338" s="439"/>
    </row>
    <row r="339" spans="1:120" ht="24" customHeight="1" x14ac:dyDescent="0.25">
      <c r="B339" s="278"/>
      <c r="C339" s="574" t="str">
        <f>IF(G334&lt;&gt;0,"          A.    What percentage of the programs blended educational delivery is:","")</f>
        <v/>
      </c>
      <c r="D339" s="574"/>
      <c r="E339" s="574"/>
      <c r="F339" s="574"/>
      <c r="G339" s="574"/>
      <c r="BA339" s="287"/>
      <c r="BB339" s="287"/>
      <c r="BC339" s="287"/>
      <c r="BD339" s="287"/>
      <c r="BE339" s="287"/>
      <c r="BF339" s="287"/>
      <c r="BG339" s="287"/>
      <c r="BH339" s="287"/>
      <c r="BI339" s="287"/>
      <c r="BJ339" s="287"/>
      <c r="BK339" s="287"/>
      <c r="BL339" s="287"/>
      <c r="BM339" s="287"/>
      <c r="BN339" s="287"/>
      <c r="BO339" s="287"/>
      <c r="BP339" s="287"/>
      <c r="BQ339" s="287"/>
      <c r="BR339" s="287"/>
      <c r="BS339" s="287"/>
      <c r="BT339" s="287"/>
      <c r="BU339" s="287"/>
      <c r="BV339" s="287"/>
      <c r="BW339" s="287"/>
      <c r="BX339" s="287"/>
      <c r="BY339" s="287"/>
      <c r="BZ339" s="287"/>
      <c r="CA339" s="287"/>
      <c r="CB339" s="287"/>
      <c r="CC339" s="287"/>
      <c r="CD339" s="287"/>
      <c r="CE339" s="287"/>
      <c r="CF339" s="287"/>
      <c r="CG339" s="287"/>
      <c r="CH339" s="287"/>
      <c r="CI339" s="287"/>
      <c r="CJ339" s="287"/>
      <c r="CK339" s="287"/>
      <c r="CL339" s="287"/>
      <c r="CM339" s="287"/>
      <c r="CN339" s="287"/>
      <c r="CO339" s="287"/>
      <c r="CP339" s="287"/>
      <c r="CQ339" s="287"/>
      <c r="CR339" s="287"/>
      <c r="CS339" s="287"/>
      <c r="CT339" s="287"/>
      <c r="CU339" s="287"/>
      <c r="CV339" s="287"/>
      <c r="CW339" s="287"/>
      <c r="CX339" s="287"/>
      <c r="CY339" s="287"/>
      <c r="CZ339" s="287"/>
      <c r="DA339" s="287"/>
      <c r="DB339" s="287"/>
      <c r="DC339" s="287"/>
      <c r="DD339" s="287"/>
      <c r="DE339" s="287"/>
      <c r="DF339" s="287"/>
      <c r="DG339" s="287"/>
      <c r="DH339" s="287"/>
      <c r="DI339" s="287"/>
      <c r="DJ339" s="287"/>
      <c r="DK339" s="287"/>
      <c r="DL339" s="287"/>
      <c r="DM339" s="287"/>
      <c r="DN339" s="287"/>
      <c r="DO339" s="287"/>
      <c r="DP339" s="287"/>
    </row>
    <row r="340" spans="1:120" s="536" customFormat="1" ht="47.25" customHeight="1" x14ac:dyDescent="0.25">
      <c r="A340" s="204"/>
      <c r="C340" s="537"/>
      <c r="D340" s="607" t="str">
        <f>IF(C339&lt;&gt;"","Please note:      Percentage cells below must contain a number based on the Blended 
                                (Hybrid) percentage above, should not be left blank, and cannot exceed 
                                100% when combined.",IF(AND(G332&lt;&gt;"",G334&lt;&gt;"",G335&lt;&gt;0),"The general information question for Distance Learning is complete, please scroll down 
to complete the general information questions for the Program Director and Medical Director.", ""))</f>
        <v/>
      </c>
      <c r="E340" s="607"/>
      <c r="F340" s="607"/>
      <c r="G340" s="607"/>
      <c r="H340" s="607"/>
      <c r="I340" s="607"/>
      <c r="J340" s="204"/>
      <c r="K340" s="204"/>
      <c r="P340" s="386"/>
      <c r="BA340" s="437"/>
      <c r="BB340" s="437"/>
      <c r="BC340" s="437"/>
      <c r="BD340" s="437"/>
      <c r="BE340" s="437"/>
      <c r="BF340" s="437"/>
      <c r="BG340" s="437"/>
      <c r="BH340" s="437"/>
      <c r="BI340" s="437"/>
      <c r="BJ340" s="437"/>
      <c r="BK340" s="437"/>
      <c r="BL340" s="437"/>
      <c r="BM340" s="437"/>
      <c r="BN340" s="437"/>
      <c r="BO340" s="437"/>
      <c r="BP340" s="437"/>
      <c r="BQ340" s="437"/>
      <c r="BR340" s="437"/>
      <c r="BS340" s="437"/>
      <c r="BT340" s="437"/>
      <c r="BU340" s="437"/>
      <c r="BV340" s="437"/>
      <c r="BW340" s="437"/>
      <c r="BX340" s="437"/>
      <c r="BY340" s="437"/>
      <c r="BZ340" s="437"/>
      <c r="CA340" s="437"/>
      <c r="CB340" s="437"/>
      <c r="CC340" s="437"/>
      <c r="CD340" s="437"/>
      <c r="CE340" s="437"/>
      <c r="CF340" s="437"/>
      <c r="CG340" s="437"/>
      <c r="CH340" s="437"/>
      <c r="CI340" s="437"/>
      <c r="CJ340" s="437"/>
      <c r="CK340" s="437"/>
      <c r="CL340" s="437"/>
      <c r="CM340" s="437"/>
      <c r="CN340" s="437"/>
      <c r="CO340" s="437"/>
      <c r="CP340" s="437"/>
      <c r="CQ340" s="437"/>
      <c r="CR340" s="437"/>
      <c r="CS340" s="437"/>
      <c r="CT340" s="437"/>
      <c r="CU340" s="437"/>
      <c r="CV340" s="437"/>
      <c r="CW340" s="437"/>
      <c r="CX340" s="437"/>
      <c r="CY340" s="437"/>
      <c r="CZ340" s="437"/>
      <c r="DA340" s="437"/>
      <c r="DB340" s="437"/>
      <c r="DC340" s="437"/>
      <c r="DD340" s="437"/>
      <c r="DE340" s="437"/>
      <c r="DF340" s="437"/>
      <c r="DG340" s="437"/>
      <c r="DH340" s="437"/>
      <c r="DI340" s="437"/>
      <c r="DJ340" s="437"/>
      <c r="DK340" s="437"/>
      <c r="DL340" s="437"/>
      <c r="DM340" s="437"/>
      <c r="DN340" s="437"/>
      <c r="DO340" s="437"/>
      <c r="DP340" s="437"/>
    </row>
    <row r="341" spans="1:120" s="427" customFormat="1" ht="21.75" customHeight="1" x14ac:dyDescent="0.25">
      <c r="A341" s="13"/>
      <c r="C341" s="413"/>
      <c r="D341" s="571" t="str">
        <f>IF(C339&lt;&gt;"","Asynchronous","")</f>
        <v/>
      </c>
      <c r="E341" s="571"/>
      <c r="F341" s="571"/>
      <c r="G341" s="539"/>
      <c r="H341" s="534" t="str">
        <f>IF(C339&lt;&gt;""," %","")</f>
        <v/>
      </c>
      <c r="O341" s="475" t="str">
        <f>IF(P341=1, "&lt;===", "")</f>
        <v/>
      </c>
      <c r="P341" s="3" t="str">
        <f>IF(AND(C339&lt;&gt;"",G341="",D432&lt;&gt;""), 1, "")</f>
        <v/>
      </c>
      <c r="BA341" s="287"/>
      <c r="BB341" s="287"/>
      <c r="BC341" s="287"/>
      <c r="BD341" s="287"/>
      <c r="BE341" s="287"/>
      <c r="BF341" s="287"/>
      <c r="BG341" s="287"/>
      <c r="BH341" s="287"/>
      <c r="BI341" s="287"/>
      <c r="BJ341" s="287"/>
      <c r="BK341" s="287"/>
      <c r="BL341" s="287"/>
      <c r="BM341" s="287"/>
      <c r="BN341" s="287"/>
      <c r="BO341" s="287"/>
      <c r="BP341" s="287"/>
      <c r="BQ341" s="287"/>
      <c r="BR341" s="287"/>
      <c r="BS341" s="287"/>
      <c r="BT341" s="287"/>
      <c r="BU341" s="287"/>
      <c r="BV341" s="287"/>
      <c r="BW341" s="287"/>
      <c r="BX341" s="287"/>
      <c r="BY341" s="287"/>
      <c r="BZ341" s="287"/>
      <c r="CA341" s="287"/>
      <c r="CB341" s="287"/>
      <c r="CC341" s="287"/>
      <c r="CD341" s="287"/>
      <c r="CE341" s="287"/>
      <c r="CF341" s="287"/>
      <c r="CG341" s="287"/>
      <c r="CH341" s="287"/>
      <c r="CI341" s="287"/>
      <c r="CJ341" s="287"/>
      <c r="CK341" s="287"/>
      <c r="CL341" s="287"/>
      <c r="CM341" s="287"/>
      <c r="CN341" s="287"/>
      <c r="CO341" s="287"/>
      <c r="CP341" s="287"/>
      <c r="CQ341" s="287"/>
      <c r="CR341" s="287"/>
      <c r="CS341" s="287"/>
      <c r="CT341" s="287"/>
      <c r="CU341" s="287"/>
      <c r="CV341" s="287"/>
      <c r="CW341" s="287"/>
      <c r="CX341" s="287"/>
      <c r="CY341" s="287"/>
      <c r="CZ341" s="287"/>
      <c r="DA341" s="287"/>
      <c r="DB341" s="287"/>
      <c r="DC341" s="287"/>
      <c r="DD341" s="287"/>
      <c r="DE341" s="287"/>
      <c r="DF341" s="287"/>
      <c r="DG341" s="287"/>
      <c r="DH341" s="287"/>
      <c r="DI341" s="287"/>
      <c r="DJ341" s="287"/>
      <c r="DK341" s="287"/>
      <c r="DL341" s="287"/>
      <c r="DM341" s="287"/>
      <c r="DN341" s="287"/>
      <c r="DO341" s="287"/>
      <c r="DP341" s="287"/>
    </row>
    <row r="342" spans="1:120" s="427" customFormat="1" ht="10.5" customHeight="1" x14ac:dyDescent="0.25">
      <c r="A342" s="13"/>
      <c r="D342" s="201"/>
      <c r="E342" s="201"/>
      <c r="F342" s="201"/>
      <c r="G342" s="381"/>
      <c r="P342" s="3"/>
      <c r="BA342" s="287"/>
      <c r="BB342" s="287"/>
      <c r="BC342" s="287"/>
      <c r="BD342" s="287"/>
      <c r="BE342" s="287"/>
      <c r="BF342" s="287"/>
      <c r="BG342" s="287"/>
      <c r="BH342" s="287"/>
      <c r="BI342" s="287"/>
      <c r="BJ342" s="287"/>
      <c r="BK342" s="287"/>
      <c r="BL342" s="287"/>
      <c r="BM342" s="287"/>
      <c r="BN342" s="287"/>
      <c r="BO342" s="287"/>
      <c r="BP342" s="287"/>
      <c r="BQ342" s="287"/>
      <c r="BR342" s="287"/>
      <c r="BS342" s="287"/>
      <c r="BT342" s="287"/>
      <c r="BU342" s="287"/>
      <c r="BV342" s="287"/>
      <c r="BW342" s="287"/>
      <c r="BX342" s="287"/>
      <c r="BY342" s="287"/>
      <c r="BZ342" s="287"/>
      <c r="CA342" s="287"/>
      <c r="CB342" s="287"/>
      <c r="CC342" s="287"/>
      <c r="CD342" s="287"/>
      <c r="CE342" s="287"/>
      <c r="CF342" s="287"/>
      <c r="CG342" s="287"/>
      <c r="CH342" s="287"/>
      <c r="CI342" s="287"/>
      <c r="CJ342" s="287"/>
      <c r="CK342" s="287"/>
      <c r="CL342" s="287"/>
      <c r="CM342" s="287"/>
      <c r="CN342" s="287"/>
      <c r="CO342" s="287"/>
      <c r="CP342" s="287"/>
      <c r="CQ342" s="287"/>
      <c r="CR342" s="287"/>
      <c r="CS342" s="287"/>
      <c r="CT342" s="287"/>
      <c r="CU342" s="287"/>
      <c r="CV342" s="287"/>
      <c r="CW342" s="287"/>
      <c r="CX342" s="287"/>
      <c r="CY342" s="287"/>
      <c r="CZ342" s="287"/>
      <c r="DA342" s="287"/>
      <c r="DB342" s="287"/>
      <c r="DC342" s="287"/>
      <c r="DD342" s="287"/>
      <c r="DE342" s="287"/>
      <c r="DF342" s="287"/>
      <c r="DG342" s="287"/>
      <c r="DH342" s="287"/>
      <c r="DI342" s="287"/>
      <c r="DJ342" s="287"/>
      <c r="DK342" s="287"/>
      <c r="DL342" s="287"/>
      <c r="DM342" s="287"/>
      <c r="DN342" s="287"/>
      <c r="DO342" s="287"/>
      <c r="DP342" s="287"/>
    </row>
    <row r="343" spans="1:120" s="427" customFormat="1" ht="21.75" customHeight="1" x14ac:dyDescent="0.25">
      <c r="A343" s="13"/>
      <c r="C343" s="535"/>
      <c r="D343" s="571" t="str">
        <f>IF(C339&lt;&gt;"","Synchronous","")</f>
        <v/>
      </c>
      <c r="E343" s="571"/>
      <c r="F343" s="572"/>
      <c r="G343" s="539"/>
      <c r="H343" s="534" t="str">
        <f>IF(C339&lt;&gt;""," %","")</f>
        <v/>
      </c>
      <c r="O343" s="475" t="str">
        <f>IF(P343=1, "&lt;===", "")</f>
        <v/>
      </c>
      <c r="P343" s="386" t="str">
        <f>IF(AND(C339&lt;&gt;"",G343="",D432&lt;&gt;""), 1, "")</f>
        <v/>
      </c>
      <c r="BA343" s="287"/>
      <c r="BB343" s="287"/>
      <c r="BC343" s="287"/>
      <c r="BD343" s="287"/>
      <c r="BE343" s="287"/>
      <c r="BF343" s="287"/>
      <c r="BG343" s="287"/>
      <c r="BH343" s="287"/>
      <c r="BI343" s="287"/>
      <c r="BJ343" s="287"/>
      <c r="BK343" s="287"/>
      <c r="BL343" s="287"/>
      <c r="BM343" s="287"/>
      <c r="BN343" s="287"/>
      <c r="BO343" s="287"/>
      <c r="BP343" s="287"/>
      <c r="BQ343" s="287"/>
      <c r="BR343" s="287"/>
      <c r="BS343" s="287"/>
      <c r="BT343" s="287"/>
      <c r="BU343" s="287"/>
      <c r="BV343" s="287"/>
      <c r="BW343" s="287"/>
      <c r="BX343" s="287"/>
      <c r="BY343" s="287"/>
      <c r="BZ343" s="287"/>
      <c r="CA343" s="287"/>
      <c r="CB343" s="287"/>
      <c r="CC343" s="287"/>
      <c r="CD343" s="287"/>
      <c r="CE343" s="287"/>
      <c r="CF343" s="287"/>
      <c r="CG343" s="287"/>
      <c r="CH343" s="287"/>
      <c r="CI343" s="287"/>
      <c r="CJ343" s="287"/>
      <c r="CK343" s="287"/>
      <c r="CL343" s="287"/>
      <c r="CM343" s="287"/>
      <c r="CN343" s="287"/>
      <c r="CO343" s="287"/>
      <c r="CP343" s="287"/>
      <c r="CQ343" s="287"/>
      <c r="CR343" s="287"/>
      <c r="CS343" s="287"/>
      <c r="CT343" s="287"/>
      <c r="CU343" s="287"/>
      <c r="CV343" s="287"/>
      <c r="CW343" s="287"/>
      <c r="CX343" s="287"/>
      <c r="CY343" s="287"/>
      <c r="CZ343" s="287"/>
      <c r="DA343" s="287"/>
      <c r="DB343" s="287"/>
      <c r="DC343" s="287"/>
      <c r="DD343" s="287"/>
      <c r="DE343" s="287"/>
      <c r="DF343" s="287"/>
      <c r="DG343" s="287"/>
      <c r="DH343" s="287"/>
      <c r="DI343" s="287"/>
      <c r="DJ343" s="287"/>
      <c r="DK343" s="287"/>
      <c r="DL343" s="287"/>
      <c r="DM343" s="287"/>
      <c r="DN343" s="287"/>
      <c r="DO343" s="287"/>
      <c r="DP343" s="287"/>
    </row>
    <row r="344" spans="1:120" s="427" customFormat="1" ht="10.5" customHeight="1" x14ac:dyDescent="0.25">
      <c r="A344" s="13"/>
      <c r="D344" s="201"/>
      <c r="E344" s="201"/>
      <c r="F344" s="201"/>
      <c r="G344" s="381"/>
      <c r="P344" s="3"/>
      <c r="BA344" s="287"/>
      <c r="BB344" s="287"/>
      <c r="BC344" s="287"/>
      <c r="BD344" s="287"/>
      <c r="BE344" s="287"/>
      <c r="BF344" s="287"/>
      <c r="BG344" s="287"/>
      <c r="BH344" s="287"/>
      <c r="BI344" s="287"/>
      <c r="BJ344" s="287"/>
      <c r="BK344" s="287"/>
      <c r="BL344" s="287"/>
      <c r="BM344" s="287"/>
      <c r="BN344" s="287"/>
      <c r="BO344" s="287"/>
      <c r="BP344" s="287"/>
      <c r="BQ344" s="287"/>
      <c r="BR344" s="287"/>
      <c r="BS344" s="287"/>
      <c r="BT344" s="287"/>
      <c r="BU344" s="287"/>
      <c r="BV344" s="287"/>
      <c r="BW344" s="287"/>
      <c r="BX344" s="287"/>
      <c r="BY344" s="287"/>
      <c r="BZ344" s="287"/>
      <c r="CA344" s="287"/>
      <c r="CB344" s="287"/>
      <c r="CC344" s="287"/>
      <c r="CD344" s="287"/>
      <c r="CE344" s="287"/>
      <c r="CF344" s="287"/>
      <c r="CG344" s="287"/>
      <c r="CH344" s="287"/>
      <c r="CI344" s="287"/>
      <c r="CJ344" s="287"/>
      <c r="CK344" s="287"/>
      <c r="CL344" s="287"/>
      <c r="CM344" s="287"/>
      <c r="CN344" s="287"/>
      <c r="CO344" s="287"/>
      <c r="CP344" s="287"/>
      <c r="CQ344" s="287"/>
      <c r="CR344" s="287"/>
      <c r="CS344" s="287"/>
      <c r="CT344" s="287"/>
      <c r="CU344" s="287"/>
      <c r="CV344" s="287"/>
      <c r="CW344" s="287"/>
      <c r="CX344" s="287"/>
      <c r="CY344" s="287"/>
      <c r="CZ344" s="287"/>
      <c r="DA344" s="287"/>
      <c r="DB344" s="287"/>
      <c r="DC344" s="287"/>
      <c r="DD344" s="287"/>
      <c r="DE344" s="287"/>
      <c r="DF344" s="287"/>
      <c r="DG344" s="287"/>
      <c r="DH344" s="287"/>
      <c r="DI344" s="287"/>
      <c r="DJ344" s="287"/>
      <c r="DK344" s="287"/>
      <c r="DL344" s="287"/>
      <c r="DM344" s="287"/>
      <c r="DN344" s="287"/>
      <c r="DO344" s="287"/>
      <c r="DP344" s="287"/>
    </row>
    <row r="345" spans="1:120" s="427" customFormat="1" ht="21.75" customHeight="1" x14ac:dyDescent="0.25">
      <c r="A345" s="13"/>
      <c r="C345" s="413"/>
      <c r="D345" s="571" t="str">
        <f>IF(C339&lt;&gt;"","Both","")</f>
        <v/>
      </c>
      <c r="E345" s="571"/>
      <c r="F345" s="571"/>
      <c r="G345" s="539"/>
      <c r="H345" s="534" t="str">
        <f>IF(C339&lt;&gt;""," %","")</f>
        <v/>
      </c>
      <c r="O345" s="475" t="str">
        <f>IF(P345=1, "&lt;===", "")</f>
        <v/>
      </c>
      <c r="P345" s="3" t="str">
        <f>IF(AND(C339&lt;&gt;"",G345="",D432&lt;&gt;""), 1, "")</f>
        <v/>
      </c>
      <c r="BA345" s="287"/>
      <c r="BB345" s="287"/>
      <c r="BC345" s="287"/>
      <c r="BD345" s="287"/>
      <c r="BE345" s="287"/>
      <c r="BF345" s="287"/>
      <c r="BG345" s="287"/>
      <c r="BH345" s="287"/>
      <c r="BI345" s="287"/>
      <c r="BJ345" s="287"/>
      <c r="BK345" s="287"/>
      <c r="BL345" s="287"/>
      <c r="BM345" s="287"/>
      <c r="BN345" s="287"/>
      <c r="BO345" s="287"/>
      <c r="BP345" s="287"/>
      <c r="BQ345" s="287"/>
      <c r="BR345" s="287"/>
      <c r="BS345" s="287"/>
      <c r="BT345" s="287"/>
      <c r="BU345" s="287"/>
      <c r="BV345" s="287"/>
      <c r="BW345" s="287"/>
      <c r="BX345" s="287"/>
      <c r="BY345" s="287"/>
      <c r="BZ345" s="287"/>
      <c r="CA345" s="287"/>
      <c r="CB345" s="287"/>
      <c r="CC345" s="287"/>
      <c r="CD345" s="287"/>
      <c r="CE345" s="287"/>
      <c r="CF345" s="287"/>
      <c r="CG345" s="287"/>
      <c r="CH345" s="287"/>
      <c r="CI345" s="287"/>
      <c r="CJ345" s="287"/>
      <c r="CK345" s="287"/>
      <c r="CL345" s="287"/>
      <c r="CM345" s="287"/>
      <c r="CN345" s="287"/>
      <c r="CO345" s="287"/>
      <c r="CP345" s="287"/>
      <c r="CQ345" s="287"/>
      <c r="CR345" s="287"/>
      <c r="CS345" s="287"/>
      <c r="CT345" s="287"/>
      <c r="CU345" s="287"/>
      <c r="CV345" s="287"/>
      <c r="CW345" s="287"/>
      <c r="CX345" s="287"/>
      <c r="CY345" s="287"/>
      <c r="CZ345" s="287"/>
      <c r="DA345" s="287"/>
      <c r="DB345" s="287"/>
      <c r="DC345" s="287"/>
      <c r="DD345" s="287"/>
      <c r="DE345" s="287"/>
      <c r="DF345" s="287"/>
      <c r="DG345" s="287"/>
      <c r="DH345" s="287"/>
      <c r="DI345" s="287"/>
      <c r="DJ345" s="287"/>
      <c r="DK345" s="287"/>
      <c r="DL345" s="287"/>
      <c r="DM345" s="287"/>
      <c r="DN345" s="287"/>
      <c r="DO345" s="287"/>
      <c r="DP345" s="287"/>
    </row>
    <row r="346" spans="1:120" s="427" customFormat="1" ht="10.5" customHeight="1" x14ac:dyDescent="0.25">
      <c r="A346" s="13"/>
      <c r="D346" s="201"/>
      <c r="E346" s="201"/>
      <c r="F346" s="201"/>
      <c r="G346" s="381"/>
      <c r="P346" s="3"/>
      <c r="BA346" s="287"/>
      <c r="BB346" s="287"/>
      <c r="BC346" s="287"/>
      <c r="BD346" s="287"/>
      <c r="BE346" s="287"/>
      <c r="BF346" s="287"/>
      <c r="BG346" s="287"/>
      <c r="BH346" s="287"/>
      <c r="BI346" s="287"/>
      <c r="BJ346" s="287"/>
      <c r="BK346" s="287"/>
      <c r="BL346" s="287"/>
      <c r="BM346" s="287"/>
      <c r="BN346" s="287"/>
      <c r="BO346" s="287"/>
      <c r="BP346" s="287"/>
      <c r="BQ346" s="287"/>
      <c r="BR346" s="287"/>
      <c r="BS346" s="287"/>
      <c r="BT346" s="287"/>
      <c r="BU346" s="287"/>
      <c r="BV346" s="287"/>
      <c r="BW346" s="287"/>
      <c r="BX346" s="287"/>
      <c r="BY346" s="287"/>
      <c r="BZ346" s="287"/>
      <c r="CA346" s="287"/>
      <c r="CB346" s="287"/>
      <c r="CC346" s="287"/>
      <c r="CD346" s="287"/>
      <c r="CE346" s="287"/>
      <c r="CF346" s="287"/>
      <c r="CG346" s="287"/>
      <c r="CH346" s="287"/>
      <c r="CI346" s="287"/>
      <c r="CJ346" s="287"/>
      <c r="CK346" s="287"/>
      <c r="CL346" s="287"/>
      <c r="CM346" s="287"/>
      <c r="CN346" s="287"/>
      <c r="CO346" s="287"/>
      <c r="CP346" s="287"/>
      <c r="CQ346" s="287"/>
      <c r="CR346" s="287"/>
      <c r="CS346" s="287"/>
      <c r="CT346" s="287"/>
      <c r="CU346" s="287"/>
      <c r="CV346" s="287"/>
      <c r="CW346" s="287"/>
      <c r="CX346" s="287"/>
      <c r="CY346" s="287"/>
      <c r="CZ346" s="287"/>
      <c r="DA346" s="287"/>
      <c r="DB346" s="287"/>
      <c r="DC346" s="287"/>
      <c r="DD346" s="287"/>
      <c r="DE346" s="287"/>
      <c r="DF346" s="287"/>
      <c r="DG346" s="287"/>
      <c r="DH346" s="287"/>
      <c r="DI346" s="287"/>
      <c r="DJ346" s="287"/>
      <c r="DK346" s="287"/>
      <c r="DL346" s="287"/>
      <c r="DM346" s="287"/>
      <c r="DN346" s="287"/>
      <c r="DO346" s="287"/>
      <c r="DP346" s="287"/>
    </row>
    <row r="347" spans="1:120" s="427" customFormat="1" ht="27" customHeight="1" x14ac:dyDescent="0.25">
      <c r="A347" s="13"/>
      <c r="C347" s="413"/>
      <c r="D347" s="280"/>
      <c r="E347" s="280"/>
      <c r="F347" s="383"/>
      <c r="G347" s="558" t="str">
        <f>IF(C339&lt;&gt;"",SUM(G341,G343,G345),"")</f>
        <v/>
      </c>
      <c r="H347" s="557" t="str">
        <f>IF(C339&lt;&gt;"","%  Total","")</f>
        <v/>
      </c>
      <c r="I347" s="809" t="str">
        <f>IF(AND(G334&lt;&gt;0,G347&gt;100),"
&lt;== Total cannot be greater than 100%",IF(AND(G334&lt;&gt;0,G347&lt;100),"
&lt;== Total cannot be less than 100%",""))</f>
        <v/>
      </c>
      <c r="J347" s="809"/>
      <c r="K347" s="809"/>
      <c r="L347" s="809"/>
      <c r="O347" s="475" t="str">
        <f>IF(P347=1, "&lt;===", "")</f>
        <v/>
      </c>
      <c r="P347" s="364" t="str">
        <f>IF(AND(I347&lt;&gt;"",D432&lt;&gt;""), 1, "")</f>
        <v/>
      </c>
      <c r="BA347" s="287"/>
      <c r="BB347" s="287"/>
      <c r="BC347" s="287"/>
      <c r="BD347" s="287"/>
      <c r="BE347" s="287"/>
      <c r="BF347" s="287"/>
      <c r="BG347" s="287"/>
      <c r="BH347" s="287"/>
      <c r="BI347" s="287"/>
      <c r="BJ347" s="287"/>
      <c r="BK347" s="287"/>
      <c r="BL347" s="287"/>
      <c r="BM347" s="287"/>
      <c r="BN347" s="287"/>
      <c r="BO347" s="287"/>
      <c r="BP347" s="287"/>
      <c r="BQ347" s="287"/>
      <c r="BR347" s="287"/>
      <c r="BS347" s="287"/>
      <c r="BT347" s="287"/>
      <c r="BU347" s="287"/>
      <c r="BV347" s="287"/>
      <c r="BW347" s="287"/>
      <c r="BX347" s="287"/>
      <c r="BY347" s="287"/>
      <c r="BZ347" s="287"/>
      <c r="CA347" s="287"/>
      <c r="CB347" s="287"/>
      <c r="CC347" s="287"/>
      <c r="CD347" s="287"/>
      <c r="CE347" s="287"/>
      <c r="CF347" s="287"/>
      <c r="CG347" s="287"/>
      <c r="CH347" s="287"/>
      <c r="CI347" s="287"/>
      <c r="CJ347" s="287"/>
      <c r="CK347" s="287"/>
      <c r="CL347" s="287"/>
      <c r="CM347" s="287"/>
      <c r="CN347" s="287"/>
      <c r="CO347" s="287"/>
      <c r="CP347" s="287"/>
      <c r="CQ347" s="287"/>
      <c r="CR347" s="287"/>
      <c r="CS347" s="287"/>
      <c r="CT347" s="287"/>
      <c r="CU347" s="287"/>
      <c r="CV347" s="287"/>
      <c r="CW347" s="287"/>
      <c r="CX347" s="287"/>
      <c r="CY347" s="287"/>
      <c r="CZ347" s="287"/>
      <c r="DA347" s="287"/>
      <c r="DB347" s="287"/>
      <c r="DC347" s="287"/>
      <c r="DD347" s="287"/>
      <c r="DE347" s="287"/>
      <c r="DF347" s="287"/>
      <c r="DG347" s="287"/>
      <c r="DH347" s="287"/>
      <c r="DI347" s="287"/>
      <c r="DJ347" s="287"/>
      <c r="DK347" s="287"/>
      <c r="DL347" s="287"/>
      <c r="DM347" s="287"/>
      <c r="DN347" s="287"/>
      <c r="DO347" s="287"/>
      <c r="DP347" s="287"/>
    </row>
    <row r="348" spans="1:120" s="427" customFormat="1" ht="29.25" customHeight="1" x14ac:dyDescent="0.25">
      <c r="A348" s="13"/>
      <c r="C348" s="573"/>
      <c r="D348" s="573"/>
      <c r="E348" s="573"/>
      <c r="F348" s="573"/>
      <c r="P348" s="3"/>
      <c r="BA348" s="287"/>
      <c r="BB348" s="287"/>
      <c r="BC348" s="287"/>
      <c r="BD348" s="287"/>
      <c r="BE348" s="287"/>
      <c r="BF348" s="287"/>
      <c r="BG348" s="287"/>
      <c r="BH348" s="287"/>
      <c r="BI348" s="287"/>
      <c r="BJ348" s="287"/>
      <c r="BK348" s="287"/>
      <c r="BL348" s="287"/>
      <c r="BM348" s="287"/>
      <c r="BN348" s="287"/>
      <c r="BO348" s="287"/>
      <c r="BP348" s="287"/>
      <c r="BQ348" s="287"/>
      <c r="BR348" s="287"/>
      <c r="BS348" s="287"/>
      <c r="BT348" s="287"/>
      <c r="BU348" s="287"/>
      <c r="BV348" s="287"/>
      <c r="BW348" s="287"/>
      <c r="BX348" s="287"/>
      <c r="BY348" s="287"/>
      <c r="BZ348" s="287"/>
      <c r="CA348" s="287"/>
      <c r="CB348" s="287"/>
      <c r="CC348" s="287"/>
      <c r="CD348" s="287"/>
      <c r="CE348" s="287"/>
      <c r="CF348" s="287"/>
      <c r="CG348" s="287"/>
      <c r="CH348" s="287"/>
      <c r="CI348" s="287"/>
      <c r="CJ348" s="287"/>
      <c r="CK348" s="287"/>
      <c r="CL348" s="287"/>
      <c r="CM348" s="287"/>
      <c r="CN348" s="287"/>
      <c r="CO348" s="287"/>
      <c r="CP348" s="287"/>
      <c r="CQ348" s="287"/>
      <c r="CR348" s="287"/>
      <c r="CS348" s="287"/>
      <c r="CT348" s="287"/>
      <c r="CU348" s="287"/>
      <c r="CV348" s="287"/>
      <c r="CW348" s="287"/>
      <c r="CX348" s="287"/>
      <c r="CY348" s="287"/>
      <c r="CZ348" s="287"/>
      <c r="DA348" s="287"/>
      <c r="DB348" s="287"/>
      <c r="DC348" s="287"/>
      <c r="DD348" s="287"/>
      <c r="DE348" s="287"/>
      <c r="DF348" s="287"/>
      <c r="DG348" s="287"/>
      <c r="DH348" s="287"/>
      <c r="DI348" s="287"/>
      <c r="DJ348" s="287"/>
      <c r="DK348" s="287"/>
      <c r="DL348" s="287"/>
      <c r="DM348" s="287"/>
      <c r="DN348" s="287"/>
      <c r="DO348" s="287"/>
      <c r="DP348" s="287"/>
    </row>
    <row r="349" spans="1:120" s="427" customFormat="1" ht="42.75" customHeight="1" x14ac:dyDescent="0.25">
      <c r="A349" s="13"/>
      <c r="B349" s="489"/>
      <c r="C349" s="575" t="str">
        <f>IF(C339&lt;&gt;"","          B.    Before a student begins their blended education, which of the following 
                  are provided by the program?", "")</f>
        <v/>
      </c>
      <c r="D349" s="575"/>
      <c r="E349" s="575"/>
      <c r="F349" s="575"/>
      <c r="G349" s="575" t="b">
        <v>0</v>
      </c>
      <c r="O349" s="475" t="str">
        <f>IF(P349=1, "&lt;===", "")</f>
        <v/>
      </c>
      <c r="P349" s="551" t="str">
        <f>IF(OR(P351&lt;&gt;"",P353&lt;&gt;"",P355&lt;&gt;""),1,"")</f>
        <v/>
      </c>
      <c r="BA349" s="287"/>
      <c r="BB349" s="287"/>
      <c r="BC349" s="287"/>
      <c r="BD349" s="287"/>
      <c r="BE349" s="287"/>
      <c r="BF349" s="287"/>
      <c r="BG349" s="287"/>
      <c r="BH349" s="287"/>
      <c r="BI349" s="287"/>
      <c r="BJ349" s="287"/>
      <c r="BK349" s="287"/>
      <c r="BL349" s="287"/>
      <c r="BM349" s="287"/>
      <c r="BN349" s="287"/>
      <c r="BO349" s="287"/>
      <c r="BP349" s="287"/>
      <c r="BQ349" s="287"/>
      <c r="BR349" s="287"/>
      <c r="BS349" s="287"/>
      <c r="BT349" s="287"/>
      <c r="BU349" s="287"/>
      <c r="BV349" s="287"/>
      <c r="BW349" s="287"/>
      <c r="BX349" s="287"/>
      <c r="BY349" s="287"/>
      <c r="BZ349" s="287"/>
      <c r="CA349" s="287"/>
      <c r="CB349" s="287"/>
      <c r="CC349" s="287"/>
      <c r="CD349" s="287"/>
      <c r="CE349" s="287"/>
      <c r="CF349" s="287"/>
      <c r="CG349" s="287"/>
      <c r="CH349" s="287"/>
      <c r="CI349" s="287"/>
      <c r="CJ349" s="287"/>
      <c r="CK349" s="287"/>
      <c r="CL349" s="287"/>
      <c r="CM349" s="287"/>
      <c r="CN349" s="287"/>
      <c r="CO349" s="287"/>
      <c r="CP349" s="287"/>
      <c r="CQ349" s="287"/>
      <c r="CR349" s="287"/>
      <c r="CS349" s="287"/>
      <c r="CT349" s="287"/>
      <c r="CU349" s="287"/>
      <c r="CV349" s="287"/>
      <c r="CW349" s="287"/>
      <c r="CX349" s="287"/>
      <c r="CY349" s="287"/>
      <c r="CZ349" s="287"/>
      <c r="DA349" s="287"/>
      <c r="DB349" s="287"/>
      <c r="DC349" s="287"/>
      <c r="DD349" s="287"/>
      <c r="DE349" s="287"/>
      <c r="DF349" s="287"/>
      <c r="DG349" s="287"/>
      <c r="DH349" s="287"/>
      <c r="DI349" s="287"/>
      <c r="DJ349" s="287"/>
      <c r="DK349" s="287"/>
      <c r="DL349" s="287"/>
      <c r="DM349" s="287"/>
      <c r="DN349" s="287"/>
      <c r="DO349" s="287"/>
      <c r="DP349" s="287"/>
    </row>
    <row r="350" spans="1:120" s="427" customFormat="1" ht="8.25" customHeight="1" x14ac:dyDescent="0.25">
      <c r="A350" s="13"/>
      <c r="H350" s="384"/>
      <c r="I350" s="384"/>
      <c r="J350" s="384"/>
      <c r="K350" s="13"/>
      <c r="P350" s="3"/>
      <c r="BA350" s="287"/>
      <c r="BB350" s="287"/>
      <c r="BC350" s="287"/>
      <c r="BD350" s="287"/>
      <c r="BE350" s="287"/>
      <c r="BF350" s="287"/>
      <c r="BG350" s="287"/>
      <c r="BH350" s="287"/>
      <c r="BI350" s="287"/>
      <c r="BJ350" s="287"/>
      <c r="BK350" s="287"/>
      <c r="BL350" s="287"/>
      <c r="BM350" s="287"/>
      <c r="BN350" s="287"/>
      <c r="BO350" s="287"/>
      <c r="BP350" s="287"/>
      <c r="BQ350" s="287"/>
      <c r="BR350" s="287"/>
      <c r="BS350" s="287"/>
      <c r="BT350" s="287"/>
      <c r="BU350" s="287"/>
      <c r="BV350" s="287"/>
      <c r="BW350" s="287"/>
      <c r="BX350" s="287"/>
      <c r="BY350" s="287"/>
      <c r="BZ350" s="287"/>
      <c r="CA350" s="287"/>
      <c r="CB350" s="287"/>
      <c r="CC350" s="287"/>
      <c r="CD350" s="287"/>
      <c r="CE350" s="287"/>
      <c r="CF350" s="287"/>
      <c r="CG350" s="287"/>
      <c r="CH350" s="287"/>
      <c r="CI350" s="287"/>
      <c r="CJ350" s="287"/>
      <c r="CK350" s="287"/>
      <c r="CL350" s="287"/>
      <c r="CM350" s="287"/>
      <c r="CN350" s="287"/>
      <c r="CO350" s="287"/>
      <c r="CP350" s="287"/>
      <c r="CQ350" s="287"/>
      <c r="CR350" s="287"/>
      <c r="CS350" s="287"/>
      <c r="CT350" s="287"/>
      <c r="CU350" s="287"/>
      <c r="CV350" s="287"/>
      <c r="CW350" s="287"/>
      <c r="CX350" s="287"/>
      <c r="CY350" s="287"/>
      <c r="CZ350" s="287"/>
      <c r="DA350" s="287"/>
      <c r="DB350" s="287"/>
      <c r="DC350" s="287"/>
      <c r="DD350" s="287"/>
      <c r="DE350" s="287"/>
      <c r="DF350" s="287"/>
      <c r="DG350" s="287"/>
      <c r="DH350" s="287"/>
      <c r="DI350" s="287"/>
      <c r="DJ350" s="287"/>
      <c r="DK350" s="287"/>
      <c r="DL350" s="287"/>
      <c r="DM350" s="287"/>
      <c r="DN350" s="287"/>
      <c r="DO350" s="287"/>
      <c r="DP350" s="287"/>
    </row>
    <row r="351" spans="1:120" s="427" customFormat="1" ht="21.75" customHeight="1" x14ac:dyDescent="0.25">
      <c r="A351" s="13"/>
      <c r="D351" s="569" t="str">
        <f>IF(C339&lt;&gt;"","    Technology requirements", "")</f>
        <v/>
      </c>
      <c r="E351" s="569"/>
      <c r="F351" s="569"/>
      <c r="G351" s="478" t="s">
        <v>23</v>
      </c>
      <c r="H351" s="476"/>
      <c r="I351" s="538"/>
      <c r="J351" s="538"/>
      <c r="K351" s="538"/>
      <c r="L351" s="538"/>
      <c r="M351" s="538"/>
      <c r="P351" s="364" t="str">
        <f>IF(AND(G334&lt;&gt;0,G351="Please Select",D432&lt;&gt;""),1,"")</f>
        <v/>
      </c>
      <c r="Q351" s="3"/>
      <c r="BA351" s="287"/>
      <c r="BB351" s="287"/>
      <c r="BC351" s="287"/>
      <c r="BD351" s="287"/>
      <c r="BE351" s="287"/>
      <c r="BF351" s="287"/>
      <c r="BG351" s="287"/>
      <c r="BH351" s="287"/>
      <c r="BI351" s="287"/>
      <c r="BJ351" s="287"/>
      <c r="BK351" s="287"/>
      <c r="BL351" s="287"/>
      <c r="BM351" s="287"/>
      <c r="BN351" s="287"/>
      <c r="BO351" s="287"/>
      <c r="BP351" s="287"/>
      <c r="BQ351" s="287"/>
      <c r="BR351" s="287"/>
      <c r="BS351" s="287"/>
      <c r="BT351" s="287"/>
      <c r="BU351" s="287"/>
      <c r="BV351" s="287"/>
      <c r="BW351" s="287"/>
      <c r="BX351" s="287"/>
      <c r="BY351" s="287"/>
      <c r="BZ351" s="287"/>
      <c r="CA351" s="287"/>
      <c r="CB351" s="287"/>
      <c r="CC351" s="287"/>
      <c r="CD351" s="287"/>
      <c r="CE351" s="287"/>
      <c r="CF351" s="287"/>
      <c r="CG351" s="287"/>
      <c r="CH351" s="287"/>
      <c r="CI351" s="287"/>
      <c r="CJ351" s="287"/>
      <c r="CK351" s="287"/>
      <c r="CL351" s="287"/>
      <c r="CM351" s="287"/>
      <c r="CN351" s="287"/>
      <c r="CO351" s="287"/>
      <c r="CP351" s="287"/>
      <c r="CQ351" s="287"/>
      <c r="CR351" s="287"/>
      <c r="CS351" s="287"/>
      <c r="CT351" s="287"/>
      <c r="CU351" s="287"/>
      <c r="CV351" s="287"/>
      <c r="CW351" s="287"/>
      <c r="CX351" s="287"/>
      <c r="CY351" s="287"/>
      <c r="CZ351" s="287"/>
      <c r="DA351" s="287"/>
      <c r="DB351" s="287"/>
      <c r="DC351" s="287"/>
      <c r="DD351" s="287"/>
      <c r="DE351" s="287"/>
      <c r="DF351" s="287"/>
      <c r="DG351" s="287"/>
      <c r="DH351" s="287"/>
      <c r="DI351" s="287"/>
      <c r="DJ351" s="287"/>
      <c r="DK351" s="287"/>
      <c r="DL351" s="287"/>
      <c r="DM351" s="287"/>
      <c r="DN351" s="287"/>
      <c r="DO351" s="287"/>
      <c r="DP351" s="287"/>
    </row>
    <row r="352" spans="1:120" s="427" customFormat="1" ht="10.5" customHeight="1" x14ac:dyDescent="0.25">
      <c r="A352" s="13"/>
      <c r="D352" s="479"/>
      <c r="E352" s="479"/>
      <c r="F352" s="479"/>
      <c r="G352" s="542"/>
      <c r="I352" s="538"/>
      <c r="J352" s="538"/>
      <c r="K352" s="538"/>
      <c r="L352" s="538"/>
      <c r="M352" s="538"/>
      <c r="P352" s="548"/>
      <c r="Q352" s="3"/>
      <c r="BA352" s="287"/>
      <c r="BB352" s="287"/>
      <c r="BC352" s="287"/>
      <c r="BD352" s="287"/>
      <c r="BE352" s="287"/>
      <c r="BF352" s="287"/>
      <c r="BG352" s="287"/>
      <c r="BH352" s="287"/>
      <c r="BI352" s="287"/>
      <c r="BJ352" s="287"/>
      <c r="BK352" s="287"/>
      <c r="BL352" s="287"/>
      <c r="BM352" s="287"/>
      <c r="BN352" s="287"/>
      <c r="BO352" s="287"/>
      <c r="BP352" s="287"/>
      <c r="BQ352" s="287"/>
      <c r="BR352" s="287"/>
      <c r="BS352" s="287"/>
      <c r="BT352" s="287"/>
      <c r="BU352" s="287"/>
      <c r="BV352" s="287"/>
      <c r="BW352" s="287"/>
      <c r="BX352" s="287"/>
      <c r="BY352" s="287"/>
      <c r="BZ352" s="287"/>
      <c r="CA352" s="287"/>
      <c r="CB352" s="287"/>
      <c r="CC352" s="287"/>
      <c r="CD352" s="287"/>
      <c r="CE352" s="287"/>
      <c r="CF352" s="287"/>
      <c r="CG352" s="287"/>
      <c r="CH352" s="287"/>
      <c r="CI352" s="287"/>
      <c r="CJ352" s="287"/>
      <c r="CK352" s="287"/>
      <c r="CL352" s="287"/>
      <c r="CM352" s="287"/>
      <c r="CN352" s="287"/>
      <c r="CO352" s="287"/>
      <c r="CP352" s="287"/>
      <c r="CQ352" s="287"/>
      <c r="CR352" s="287"/>
      <c r="CS352" s="287"/>
      <c r="CT352" s="287"/>
      <c r="CU352" s="287"/>
      <c r="CV352" s="287"/>
      <c r="CW352" s="287"/>
      <c r="CX352" s="287"/>
      <c r="CY352" s="287"/>
      <c r="CZ352" s="287"/>
      <c r="DA352" s="287"/>
      <c r="DB352" s="287"/>
      <c r="DC352" s="287"/>
      <c r="DD352" s="287"/>
      <c r="DE352" s="287"/>
      <c r="DF352" s="287"/>
      <c r="DG352" s="287"/>
      <c r="DH352" s="287"/>
      <c r="DI352" s="287"/>
      <c r="DJ352" s="287"/>
      <c r="DK352" s="287"/>
      <c r="DL352" s="287"/>
      <c r="DM352" s="287"/>
      <c r="DN352" s="287"/>
      <c r="DO352" s="287"/>
      <c r="DP352" s="287"/>
    </row>
    <row r="353" spans="1:120" s="427" customFormat="1" ht="21.75" customHeight="1" x14ac:dyDescent="0.25">
      <c r="A353" s="13"/>
      <c r="C353" s="280"/>
      <c r="D353" s="569" t="str">
        <f>IF(C339&lt;&gt;"","    Internet connectivity requirements","")</f>
        <v/>
      </c>
      <c r="E353" s="569"/>
      <c r="F353" s="576"/>
      <c r="G353" s="478" t="s">
        <v>23</v>
      </c>
      <c r="H353" s="463"/>
      <c r="I353" s="538"/>
      <c r="J353" s="538"/>
      <c r="K353" s="538"/>
      <c r="L353" s="538"/>
      <c r="M353" s="538"/>
      <c r="O353" s="464"/>
      <c r="P353" s="364" t="str">
        <f>IF(AND(G334&lt;&gt;0,G353="Please Select",D432&lt;&gt;""),1,"")</f>
        <v/>
      </c>
      <c r="Q353" s="3"/>
      <c r="BA353" s="287"/>
      <c r="BB353" s="287"/>
      <c r="BC353" s="287"/>
      <c r="BD353" s="287"/>
      <c r="BE353" s="287"/>
      <c r="BF353" s="287"/>
      <c r="BG353" s="287"/>
      <c r="BH353" s="287"/>
      <c r="BI353" s="287"/>
      <c r="BJ353" s="287"/>
      <c r="BK353" s="287"/>
      <c r="BL353" s="287"/>
      <c r="BM353" s="287"/>
      <c r="BN353" s="287"/>
      <c r="BO353" s="287"/>
      <c r="BP353" s="287"/>
      <c r="BQ353" s="287"/>
      <c r="BR353" s="287"/>
      <c r="BS353" s="287"/>
      <c r="BT353" s="287"/>
      <c r="BU353" s="287"/>
      <c r="BV353" s="287"/>
      <c r="BW353" s="287"/>
      <c r="BX353" s="287"/>
      <c r="BY353" s="287"/>
      <c r="BZ353" s="287"/>
      <c r="CA353" s="287"/>
      <c r="CB353" s="287"/>
      <c r="CC353" s="287"/>
      <c r="CD353" s="287"/>
      <c r="CE353" s="287"/>
      <c r="CF353" s="287"/>
      <c r="CG353" s="287"/>
      <c r="CH353" s="287"/>
      <c r="CI353" s="287"/>
      <c r="CJ353" s="287"/>
      <c r="CK353" s="287"/>
      <c r="CL353" s="287"/>
      <c r="CM353" s="287"/>
      <c r="CN353" s="287"/>
      <c r="CO353" s="287"/>
      <c r="CP353" s="287"/>
      <c r="CQ353" s="287"/>
      <c r="CR353" s="287"/>
      <c r="CS353" s="287"/>
      <c r="CT353" s="287"/>
      <c r="CU353" s="287"/>
      <c r="CV353" s="287"/>
      <c r="CW353" s="287"/>
      <c r="CX353" s="287"/>
      <c r="CY353" s="287"/>
      <c r="CZ353" s="287"/>
      <c r="DA353" s="287"/>
      <c r="DB353" s="287"/>
      <c r="DC353" s="287"/>
      <c r="DD353" s="287"/>
      <c r="DE353" s="287"/>
      <c r="DF353" s="287"/>
      <c r="DG353" s="287"/>
      <c r="DH353" s="287"/>
      <c r="DI353" s="287"/>
      <c r="DJ353" s="287"/>
      <c r="DK353" s="287"/>
      <c r="DL353" s="287"/>
      <c r="DM353" s="287"/>
      <c r="DN353" s="287"/>
      <c r="DO353" s="287"/>
      <c r="DP353" s="287"/>
    </row>
    <row r="354" spans="1:120" s="427" customFormat="1" ht="10.5" customHeight="1" x14ac:dyDescent="0.25">
      <c r="A354" s="13"/>
      <c r="D354" s="479"/>
      <c r="E354" s="479"/>
      <c r="F354" s="479"/>
      <c r="G354" s="11"/>
      <c r="I354" s="538"/>
      <c r="J354" s="538"/>
      <c r="K354" s="538"/>
      <c r="L354" s="538"/>
      <c r="M354" s="538"/>
      <c r="P354" s="548"/>
      <c r="Q354" s="3"/>
      <c r="BA354" s="287"/>
      <c r="BB354" s="287"/>
      <c r="BC354" s="287"/>
      <c r="BD354" s="287"/>
      <c r="BE354" s="287"/>
      <c r="BF354" s="287"/>
      <c r="BG354" s="287"/>
      <c r="BH354" s="287"/>
      <c r="BI354" s="287"/>
      <c r="BJ354" s="287"/>
      <c r="BK354" s="287"/>
      <c r="BL354" s="287"/>
      <c r="BM354" s="287"/>
      <c r="BN354" s="287"/>
      <c r="BO354" s="287"/>
      <c r="BP354" s="287"/>
      <c r="BQ354" s="287"/>
      <c r="BR354" s="287"/>
      <c r="BS354" s="287"/>
      <c r="BT354" s="287"/>
      <c r="BU354" s="287"/>
      <c r="BV354" s="287"/>
      <c r="BW354" s="287"/>
      <c r="BX354" s="287"/>
      <c r="BY354" s="287"/>
      <c r="BZ354" s="287"/>
      <c r="CA354" s="287"/>
      <c r="CB354" s="287"/>
      <c r="CC354" s="287"/>
      <c r="CD354" s="287"/>
      <c r="CE354" s="287"/>
      <c r="CF354" s="287"/>
      <c r="CG354" s="287"/>
      <c r="CH354" s="287"/>
      <c r="CI354" s="287"/>
      <c r="CJ354" s="287"/>
      <c r="CK354" s="287"/>
      <c r="CL354" s="287"/>
      <c r="CM354" s="287"/>
      <c r="CN354" s="287"/>
      <c r="CO354" s="287"/>
      <c r="CP354" s="287"/>
      <c r="CQ354" s="287"/>
      <c r="CR354" s="287"/>
      <c r="CS354" s="287"/>
      <c r="CT354" s="287"/>
      <c r="CU354" s="287"/>
      <c r="CV354" s="287"/>
      <c r="CW354" s="287"/>
      <c r="CX354" s="287"/>
      <c r="CY354" s="287"/>
      <c r="CZ354" s="287"/>
      <c r="DA354" s="287"/>
      <c r="DB354" s="287"/>
      <c r="DC354" s="287"/>
      <c r="DD354" s="287"/>
      <c r="DE354" s="287"/>
      <c r="DF354" s="287"/>
      <c r="DG354" s="287"/>
      <c r="DH354" s="287"/>
      <c r="DI354" s="287"/>
      <c r="DJ354" s="287"/>
      <c r="DK354" s="287"/>
      <c r="DL354" s="287"/>
      <c r="DM354" s="287"/>
      <c r="DN354" s="287"/>
      <c r="DO354" s="287"/>
      <c r="DP354" s="287"/>
    </row>
    <row r="355" spans="1:120" s="427" customFormat="1" ht="31.5" customHeight="1" x14ac:dyDescent="0.25">
      <c r="A355" s="13"/>
      <c r="D355" s="569" t="str">
        <f>IF(C339&lt;&gt;"","    Attendance/Synchronous activity 
    requirements","")</f>
        <v/>
      </c>
      <c r="E355" s="569"/>
      <c r="F355" s="569"/>
      <c r="G355" s="478" t="s">
        <v>23</v>
      </c>
      <c r="H355" s="463"/>
      <c r="I355" s="538"/>
      <c r="J355" s="538"/>
      <c r="K355" s="538"/>
      <c r="L355" s="538"/>
      <c r="M355" s="538"/>
      <c r="O355" s="464"/>
      <c r="P355" s="364" t="str">
        <f>IF(AND(G334&lt;&gt;0,G355="Please Select",D432&lt;&gt;""),1,"")</f>
        <v/>
      </c>
      <c r="Q355" s="3"/>
      <c r="BA355" s="287"/>
      <c r="BB355" s="287"/>
      <c r="BC355" s="287"/>
      <c r="BD355" s="287"/>
      <c r="BE355" s="287"/>
      <c r="BF355" s="287"/>
      <c r="BG355" s="287"/>
      <c r="BH355" s="287"/>
      <c r="BI355" s="287"/>
      <c r="BJ355" s="287"/>
      <c r="BK355" s="287"/>
      <c r="BL355" s="287"/>
      <c r="BM355" s="287"/>
      <c r="BN355" s="287"/>
      <c r="BO355" s="287"/>
      <c r="BP355" s="287"/>
      <c r="BQ355" s="287"/>
      <c r="BR355" s="287"/>
      <c r="BS355" s="287"/>
      <c r="BT355" s="287"/>
      <c r="BU355" s="287"/>
      <c r="BV355" s="287"/>
      <c r="BW355" s="287"/>
      <c r="BX355" s="287"/>
      <c r="BY355" s="287"/>
      <c r="BZ355" s="287"/>
      <c r="CA355" s="287"/>
      <c r="CB355" s="287"/>
      <c r="CC355" s="287"/>
      <c r="CD355" s="287"/>
      <c r="CE355" s="287"/>
      <c r="CF355" s="287"/>
      <c r="CG355" s="287"/>
      <c r="CH355" s="287"/>
      <c r="CI355" s="287"/>
      <c r="CJ355" s="287"/>
      <c r="CK355" s="287"/>
      <c r="CL355" s="287"/>
      <c r="CM355" s="287"/>
      <c r="CN355" s="287"/>
      <c r="CO355" s="287"/>
      <c r="CP355" s="287"/>
      <c r="CQ355" s="287"/>
      <c r="CR355" s="287"/>
      <c r="CS355" s="287"/>
      <c r="CT355" s="287"/>
      <c r="CU355" s="287"/>
      <c r="CV355" s="287"/>
      <c r="CW355" s="287"/>
      <c r="CX355" s="287"/>
      <c r="CY355" s="287"/>
      <c r="CZ355" s="287"/>
      <c r="DA355" s="287"/>
      <c r="DB355" s="287"/>
      <c r="DC355" s="287"/>
      <c r="DD355" s="287"/>
      <c r="DE355" s="287"/>
      <c r="DF355" s="287"/>
      <c r="DG355" s="287"/>
      <c r="DH355" s="287"/>
      <c r="DI355" s="287"/>
      <c r="DJ355" s="287"/>
      <c r="DK355" s="287"/>
      <c r="DL355" s="287"/>
      <c r="DM355" s="287"/>
      <c r="DN355" s="287"/>
      <c r="DO355" s="287"/>
      <c r="DP355" s="287"/>
    </row>
    <row r="356" spans="1:120" ht="8.25" customHeight="1" x14ac:dyDescent="0.25">
      <c r="C356" s="522"/>
      <c r="D356" s="523"/>
      <c r="E356" s="523"/>
      <c r="F356" s="523"/>
      <c r="G356" s="524"/>
      <c r="H356" s="287"/>
      <c r="I356" s="538"/>
      <c r="J356" s="538"/>
      <c r="K356" s="538"/>
      <c r="L356" s="538"/>
      <c r="M356" s="538"/>
      <c r="BA356" s="287"/>
      <c r="BB356" s="287"/>
      <c r="BC356" s="287"/>
      <c r="BD356" s="287"/>
      <c r="BE356" s="287"/>
      <c r="BF356" s="287"/>
      <c r="BG356" s="287"/>
      <c r="BH356" s="287"/>
      <c r="BI356" s="287"/>
      <c r="BJ356" s="287"/>
      <c r="BK356" s="287"/>
      <c r="BL356" s="287"/>
      <c r="BM356" s="287"/>
      <c r="BN356" s="287"/>
      <c r="BO356" s="287"/>
      <c r="BP356" s="287"/>
      <c r="BQ356" s="287"/>
      <c r="BR356" s="287"/>
      <c r="BS356" s="287"/>
      <c r="BT356" s="287"/>
      <c r="BU356" s="287"/>
      <c r="BV356" s="287"/>
      <c r="BW356" s="287"/>
      <c r="BX356" s="287"/>
      <c r="BY356" s="287"/>
      <c r="BZ356" s="287"/>
      <c r="CA356" s="287"/>
      <c r="CB356" s="287"/>
      <c r="CC356" s="287"/>
      <c r="CD356" s="287"/>
      <c r="CE356" s="287"/>
      <c r="CF356" s="287"/>
      <c r="CG356" s="287"/>
      <c r="CH356" s="287"/>
      <c r="CI356" s="287"/>
      <c r="CJ356" s="287"/>
      <c r="CK356" s="287"/>
      <c r="CL356" s="287"/>
      <c r="CM356" s="287"/>
      <c r="CN356" s="287"/>
      <c r="CO356" s="287"/>
      <c r="CP356" s="287"/>
      <c r="CQ356" s="287"/>
      <c r="CR356" s="287"/>
      <c r="CS356" s="287"/>
      <c r="CT356" s="287"/>
      <c r="CU356" s="287"/>
      <c r="CV356" s="287"/>
      <c r="CW356" s="287"/>
      <c r="CX356" s="287"/>
      <c r="CY356" s="287"/>
      <c r="CZ356" s="287"/>
      <c r="DA356" s="287"/>
      <c r="DB356" s="287"/>
      <c r="DC356" s="287"/>
      <c r="DD356" s="287"/>
      <c r="DE356" s="287"/>
      <c r="DF356" s="287"/>
      <c r="DG356" s="287"/>
      <c r="DH356" s="287"/>
      <c r="DI356" s="287"/>
      <c r="DJ356" s="287"/>
      <c r="DK356" s="287"/>
      <c r="DL356" s="287"/>
      <c r="DM356" s="287"/>
      <c r="DN356" s="287"/>
      <c r="DO356" s="287"/>
      <c r="DP356" s="287"/>
    </row>
    <row r="357" spans="1:120" s="287" customFormat="1" ht="18.75" customHeight="1" x14ac:dyDescent="0.25">
      <c r="A357" s="521"/>
      <c r="C357" s="522"/>
      <c r="D357" s="522"/>
      <c r="E357" s="522"/>
      <c r="F357" s="522"/>
      <c r="G357" s="522"/>
      <c r="P357" s="521"/>
    </row>
    <row r="358" spans="1:120" s="287" customFormat="1" ht="17.25" customHeight="1" x14ac:dyDescent="0.25">
      <c r="A358" s="521"/>
      <c r="C358" s="744" t="str">
        <f>IF(G339="Yes","Number of students not returning/withdrew in "&amp;D4&amp;"?","")</f>
        <v/>
      </c>
      <c r="D358" s="744"/>
      <c r="E358" s="744"/>
      <c r="F358" s="744"/>
      <c r="G358" s="525"/>
      <c r="H358" s="437"/>
      <c r="O358" s="496" t="str">
        <f>IF(P358=1, "&lt;===", "")</f>
        <v/>
      </c>
      <c r="P358" s="267" t="str">
        <f>IF(AND(G339="Yes",G358="",D432&lt;&gt;""), 1, "")</f>
        <v/>
      </c>
    </row>
    <row r="359" spans="1:120" s="287" customFormat="1" ht="9.75" customHeight="1" x14ac:dyDescent="0.25">
      <c r="A359" s="521"/>
      <c r="C359" s="744" t="str">
        <f>IF(G339="Yes","Percentage of students that did not return in "&amp;D4&amp;"?","")</f>
        <v/>
      </c>
      <c r="D359" s="744"/>
      <c r="E359" s="744"/>
      <c r="F359" s="744"/>
      <c r="G359" s="525"/>
      <c r="O359" s="496" t="str">
        <f>IF(P359=1, "&lt;===", "")</f>
        <v/>
      </c>
      <c r="P359" s="267" t="str">
        <f>IF(AND(G339="Yes",G359="",D432&lt;&gt;""), 1, "")</f>
        <v/>
      </c>
    </row>
    <row r="360" spans="1:120" ht="53.25" customHeight="1" x14ac:dyDescent="0.25">
      <c r="B360" s="489"/>
      <c r="C360" s="567" t="str">
        <f>IF(C339&lt;&gt;"","          C.    Before a faculty member begins providing blended education, 
                  are they prepared with training in delivering blended 
                  curriculum content?", "")</f>
        <v/>
      </c>
      <c r="D360" s="567"/>
      <c r="E360" s="567"/>
      <c r="F360" s="567"/>
      <c r="G360" s="552" t="s">
        <v>23</v>
      </c>
      <c r="O360" s="387" t="str">
        <f>IF(P360=1, "&lt;===", "")</f>
        <v/>
      </c>
      <c r="P360" s="364" t="str">
        <f>IF(AND(C339&lt;&gt;"",G360="Please Select",D432&lt;&gt;""),1,"")</f>
        <v/>
      </c>
      <c r="BA360" s="287"/>
      <c r="BB360" s="287"/>
      <c r="BC360" s="287"/>
      <c r="BD360" s="287"/>
      <c r="BE360" s="287"/>
      <c r="BF360" s="287"/>
      <c r="BG360" s="287"/>
      <c r="BH360" s="287"/>
      <c r="BI360" s="287"/>
      <c r="BJ360" s="287"/>
      <c r="BK360" s="287"/>
      <c r="BL360" s="287"/>
      <c r="BM360" s="287"/>
      <c r="BN360" s="287"/>
      <c r="BO360" s="287"/>
      <c r="BP360" s="287"/>
      <c r="BQ360" s="287"/>
      <c r="BR360" s="287"/>
      <c r="BS360" s="287"/>
      <c r="BT360" s="287"/>
      <c r="BU360" s="287"/>
      <c r="BV360" s="287"/>
      <c r="BW360" s="287"/>
      <c r="BX360" s="287"/>
      <c r="BY360" s="287"/>
      <c r="BZ360" s="287"/>
      <c r="CA360" s="287"/>
      <c r="CB360" s="287"/>
      <c r="CC360" s="287"/>
      <c r="CD360" s="287"/>
      <c r="CE360" s="287"/>
      <c r="CF360" s="287"/>
      <c r="CG360" s="287"/>
      <c r="CH360" s="287"/>
      <c r="CI360" s="287"/>
      <c r="CJ360" s="287"/>
      <c r="CK360" s="287"/>
      <c r="CL360" s="287"/>
      <c r="CM360" s="287"/>
      <c r="CN360" s="287"/>
      <c r="CO360" s="287"/>
      <c r="CP360" s="287"/>
      <c r="CQ360" s="287"/>
      <c r="CR360" s="287"/>
      <c r="CS360" s="287"/>
      <c r="CT360" s="287"/>
      <c r="CU360" s="287"/>
      <c r="CV360" s="287"/>
      <c r="CW360" s="287"/>
      <c r="CX360" s="287"/>
      <c r="CY360" s="287"/>
      <c r="CZ360" s="287"/>
      <c r="DA360" s="287"/>
      <c r="DB360" s="287"/>
      <c r="DC360" s="287"/>
      <c r="DD360" s="287"/>
      <c r="DE360" s="287"/>
      <c r="DF360" s="287"/>
      <c r="DG360" s="287"/>
      <c r="DH360" s="287"/>
      <c r="DI360" s="287"/>
      <c r="DJ360" s="287"/>
      <c r="DK360" s="287"/>
      <c r="DL360" s="287"/>
      <c r="DM360" s="287"/>
      <c r="DN360" s="287"/>
      <c r="DO360" s="287"/>
      <c r="DP360" s="287"/>
    </row>
    <row r="361" spans="1:120" s="427" customFormat="1" ht="20.25" customHeight="1" x14ac:dyDescent="0.25">
      <c r="A361" s="13"/>
      <c r="H361" s="384"/>
      <c r="I361" s="384"/>
      <c r="J361" s="384"/>
      <c r="K361" s="13"/>
      <c r="P361" s="3"/>
      <c r="BA361" s="287"/>
      <c r="BB361" s="287"/>
      <c r="BC361" s="287"/>
      <c r="BD361" s="287"/>
      <c r="BE361" s="287"/>
      <c r="BF361" s="287"/>
      <c r="BG361" s="287"/>
      <c r="BH361" s="287"/>
      <c r="BI361" s="287"/>
      <c r="BJ361" s="287"/>
      <c r="BK361" s="287"/>
      <c r="BL361" s="287"/>
      <c r="BM361" s="287"/>
      <c r="BN361" s="287"/>
      <c r="BO361" s="287"/>
      <c r="BP361" s="287"/>
      <c r="BQ361" s="287"/>
      <c r="BR361" s="287"/>
      <c r="BS361" s="287"/>
      <c r="BT361" s="287"/>
      <c r="BU361" s="287"/>
      <c r="BV361" s="287"/>
      <c r="BW361" s="287"/>
      <c r="BX361" s="287"/>
      <c r="BY361" s="287"/>
      <c r="BZ361" s="287"/>
      <c r="CA361" s="287"/>
      <c r="CB361" s="287"/>
      <c r="CC361" s="287"/>
      <c r="CD361" s="287"/>
      <c r="CE361" s="287"/>
      <c r="CF361" s="287"/>
      <c r="CG361" s="287"/>
      <c r="CH361" s="287"/>
      <c r="CI361" s="287"/>
      <c r="CJ361" s="287"/>
      <c r="CK361" s="287"/>
      <c r="CL361" s="287"/>
      <c r="CM361" s="287"/>
      <c r="CN361" s="287"/>
      <c r="CO361" s="287"/>
      <c r="CP361" s="287"/>
      <c r="CQ361" s="287"/>
      <c r="CR361" s="287"/>
      <c r="CS361" s="287"/>
      <c r="CT361" s="287"/>
      <c r="CU361" s="287"/>
      <c r="CV361" s="287"/>
      <c r="CW361" s="287"/>
      <c r="CX361" s="287"/>
      <c r="CY361" s="287"/>
      <c r="CZ361" s="287"/>
      <c r="DA361" s="287"/>
      <c r="DB361" s="287"/>
      <c r="DC361" s="287"/>
      <c r="DD361" s="287"/>
      <c r="DE361" s="287"/>
      <c r="DF361" s="287"/>
      <c r="DG361" s="287"/>
      <c r="DH361" s="287"/>
      <c r="DI361" s="287"/>
      <c r="DJ361" s="287"/>
      <c r="DK361" s="287"/>
      <c r="DL361" s="287"/>
      <c r="DM361" s="287"/>
      <c r="DN361" s="287"/>
      <c r="DO361" s="287"/>
      <c r="DP361" s="287"/>
    </row>
    <row r="362" spans="1:120" s="427" customFormat="1" ht="53.25" customHeight="1" x14ac:dyDescent="0.25">
      <c r="A362" s="13"/>
      <c r="B362" s="489"/>
      <c r="C362" s="567" t="str">
        <f>IF(C339&lt;&gt;"","          D.    Is there a service available for real-time information 
                  technology support for students?", "")</f>
        <v/>
      </c>
      <c r="D362" s="567"/>
      <c r="E362" s="567"/>
      <c r="F362" s="567"/>
      <c r="G362" s="478" t="s">
        <v>23</v>
      </c>
      <c r="O362" s="475" t="str">
        <f>IF(P362=1, "&lt;===", "")</f>
        <v/>
      </c>
      <c r="P362" s="364" t="str">
        <f>IF(AND(C339&lt;&gt;"",G362="Please Select",D432&lt;&gt;""),1,"")</f>
        <v/>
      </c>
      <c r="BA362" s="287"/>
      <c r="BB362" s="287"/>
      <c r="BC362" s="287"/>
      <c r="BD362" s="287"/>
      <c r="BE362" s="287"/>
      <c r="BF362" s="287"/>
      <c r="BG362" s="287"/>
      <c r="BH362" s="287"/>
      <c r="BI362" s="287"/>
      <c r="BJ362" s="287"/>
      <c r="BK362" s="287"/>
      <c r="BL362" s="287"/>
      <c r="BM362" s="287"/>
      <c r="BN362" s="287"/>
      <c r="BO362" s="287"/>
      <c r="BP362" s="287"/>
      <c r="BQ362" s="287"/>
      <c r="BR362" s="287"/>
      <c r="BS362" s="287"/>
      <c r="BT362" s="287"/>
      <c r="BU362" s="287"/>
      <c r="BV362" s="287"/>
      <c r="BW362" s="287"/>
      <c r="BX362" s="287"/>
      <c r="BY362" s="287"/>
      <c r="BZ362" s="287"/>
      <c r="CA362" s="287"/>
      <c r="CB362" s="287"/>
      <c r="CC362" s="287"/>
      <c r="CD362" s="287"/>
      <c r="CE362" s="287"/>
      <c r="CF362" s="287"/>
      <c r="CG362" s="287"/>
      <c r="CH362" s="287"/>
      <c r="CI362" s="287"/>
      <c r="CJ362" s="287"/>
      <c r="CK362" s="287"/>
      <c r="CL362" s="287"/>
      <c r="CM362" s="287"/>
      <c r="CN362" s="287"/>
      <c r="CO362" s="287"/>
      <c r="CP362" s="287"/>
      <c r="CQ362" s="287"/>
      <c r="CR362" s="287"/>
      <c r="CS362" s="287"/>
      <c r="CT362" s="287"/>
      <c r="CU362" s="287"/>
      <c r="CV362" s="287"/>
      <c r="CW362" s="287"/>
      <c r="CX362" s="287"/>
      <c r="CY362" s="287"/>
      <c r="CZ362" s="287"/>
      <c r="DA362" s="287"/>
      <c r="DB362" s="287"/>
      <c r="DC362" s="287"/>
      <c r="DD362" s="287"/>
      <c r="DE362" s="287"/>
      <c r="DF362" s="287"/>
      <c r="DG362" s="287"/>
      <c r="DH362" s="287"/>
      <c r="DI362" s="287"/>
      <c r="DJ362" s="287"/>
      <c r="DK362" s="287"/>
      <c r="DL362" s="287"/>
      <c r="DM362" s="287"/>
      <c r="DN362" s="287"/>
      <c r="DO362" s="287"/>
      <c r="DP362" s="287"/>
    </row>
    <row r="363" spans="1:120" s="427" customFormat="1" ht="8.25" customHeight="1" x14ac:dyDescent="0.25">
      <c r="A363" s="13"/>
      <c r="H363" s="543"/>
      <c r="I363" s="543"/>
      <c r="J363" s="543"/>
      <c r="K363" s="13"/>
      <c r="P363" s="541"/>
      <c r="BA363" s="287"/>
      <c r="BB363" s="287"/>
      <c r="BC363" s="287"/>
      <c r="BD363" s="287"/>
      <c r="BE363" s="287"/>
      <c r="BF363" s="287"/>
      <c r="BG363" s="287"/>
      <c r="BH363" s="287"/>
      <c r="BI363" s="287"/>
      <c r="BJ363" s="287"/>
      <c r="BK363" s="287"/>
      <c r="BL363" s="287"/>
      <c r="BM363" s="287"/>
      <c r="BN363" s="287"/>
      <c r="BO363" s="287"/>
      <c r="BP363" s="287"/>
      <c r="BQ363" s="287"/>
      <c r="BR363" s="287"/>
      <c r="BS363" s="287"/>
      <c r="BT363" s="287"/>
      <c r="BU363" s="287"/>
      <c r="BV363" s="287"/>
      <c r="BW363" s="287"/>
      <c r="BX363" s="287"/>
      <c r="BY363" s="287"/>
      <c r="BZ363" s="287"/>
      <c r="CA363" s="287"/>
      <c r="CB363" s="287"/>
      <c r="CC363" s="287"/>
      <c r="CD363" s="287"/>
      <c r="CE363" s="287"/>
      <c r="CF363" s="287"/>
      <c r="CG363" s="287"/>
      <c r="CH363" s="287"/>
      <c r="CI363" s="287"/>
      <c r="CJ363" s="287"/>
      <c r="CK363" s="287"/>
      <c r="CL363" s="287"/>
      <c r="CM363" s="287"/>
      <c r="CN363" s="287"/>
      <c r="CO363" s="287"/>
      <c r="CP363" s="287"/>
      <c r="CQ363" s="287"/>
      <c r="CR363" s="287"/>
      <c r="CS363" s="287"/>
      <c r="CT363" s="287"/>
      <c r="CU363" s="287"/>
      <c r="CV363" s="287"/>
      <c r="CW363" s="287"/>
      <c r="CX363" s="287"/>
      <c r="CY363" s="287"/>
      <c r="CZ363" s="287"/>
      <c r="DA363" s="287"/>
      <c r="DB363" s="287"/>
      <c r="DC363" s="287"/>
      <c r="DD363" s="287"/>
      <c r="DE363" s="287"/>
      <c r="DF363" s="287"/>
      <c r="DG363" s="287"/>
      <c r="DH363" s="287"/>
      <c r="DI363" s="287"/>
      <c r="DJ363" s="287"/>
      <c r="DK363" s="287"/>
      <c r="DL363" s="287"/>
      <c r="DM363" s="287"/>
      <c r="DN363" s="287"/>
      <c r="DO363" s="287"/>
      <c r="DP363" s="287"/>
    </row>
    <row r="364" spans="1:120" s="287" customFormat="1" ht="33" customHeight="1" x14ac:dyDescent="0.25">
      <c r="A364" s="521"/>
      <c r="C364" s="522"/>
      <c r="D364" s="522"/>
      <c r="E364" s="522"/>
      <c r="F364" s="522"/>
      <c r="G364" s="522"/>
      <c r="P364" s="521"/>
    </row>
    <row r="365" spans="1:120" s="287" customFormat="1" ht="33" customHeight="1" x14ac:dyDescent="0.25">
      <c r="A365" s="521"/>
      <c r="B365" s="556"/>
      <c r="C365" s="568" t="s">
        <v>156</v>
      </c>
      <c r="D365" s="568"/>
      <c r="E365" s="568"/>
      <c r="F365" s="568"/>
      <c r="G365" s="568"/>
      <c r="P365" s="521"/>
    </row>
    <row r="366" spans="1:120" s="427" customFormat="1" ht="8.25" customHeight="1" x14ac:dyDescent="0.25">
      <c r="A366" s="13"/>
      <c r="H366" s="547"/>
      <c r="I366" s="547"/>
      <c r="J366" s="547"/>
      <c r="K366" s="13"/>
      <c r="P366" s="548"/>
      <c r="BA366" s="287"/>
      <c r="BB366" s="287"/>
      <c r="BC366" s="287"/>
      <c r="BD366" s="287"/>
      <c r="BE366" s="287"/>
      <c r="BF366" s="287"/>
      <c r="BG366" s="287"/>
      <c r="BH366" s="287"/>
      <c r="BI366" s="287"/>
      <c r="BJ366" s="287"/>
      <c r="BK366" s="287"/>
      <c r="BL366" s="287"/>
      <c r="BM366" s="287"/>
      <c r="BN366" s="287"/>
      <c r="BO366" s="287"/>
      <c r="BP366" s="287"/>
      <c r="BQ366" s="287"/>
      <c r="BR366" s="287"/>
      <c r="BS366" s="287"/>
      <c r="BT366" s="287"/>
      <c r="BU366" s="287"/>
      <c r="BV366" s="287"/>
      <c r="BW366" s="287"/>
      <c r="BX366" s="287"/>
      <c r="BY366" s="287"/>
      <c r="BZ366" s="287"/>
      <c r="CA366" s="287"/>
      <c r="CB366" s="287"/>
      <c r="CC366" s="287"/>
      <c r="CD366" s="287"/>
      <c r="CE366" s="287"/>
      <c r="CF366" s="287"/>
      <c r="CG366" s="287"/>
      <c r="CH366" s="287"/>
      <c r="CI366" s="287"/>
      <c r="CJ366" s="287"/>
      <c r="CK366" s="287"/>
      <c r="CL366" s="287"/>
      <c r="CM366" s="287"/>
      <c r="CN366" s="287"/>
      <c r="CO366" s="287"/>
      <c r="CP366" s="287"/>
      <c r="CQ366" s="287"/>
      <c r="CR366" s="287"/>
      <c r="CS366" s="287"/>
      <c r="CT366" s="287"/>
      <c r="CU366" s="287"/>
      <c r="CV366" s="287"/>
      <c r="CW366" s="287"/>
      <c r="CX366" s="287"/>
      <c r="CY366" s="287"/>
      <c r="CZ366" s="287"/>
      <c r="DA366" s="287"/>
      <c r="DB366" s="287"/>
      <c r="DC366" s="287"/>
      <c r="DD366" s="287"/>
      <c r="DE366" s="287"/>
      <c r="DF366" s="287"/>
      <c r="DG366" s="287"/>
      <c r="DH366" s="287"/>
      <c r="DI366" s="287"/>
      <c r="DJ366" s="287"/>
      <c r="DK366" s="287"/>
      <c r="DL366" s="287"/>
      <c r="DM366" s="287"/>
      <c r="DN366" s="287"/>
      <c r="DO366" s="287"/>
      <c r="DP366" s="287"/>
    </row>
    <row r="367" spans="1:120" s="291" customFormat="1" ht="33" customHeight="1" x14ac:dyDescent="0.25">
      <c r="A367" s="13"/>
      <c r="B367" s="277">
        <v>7</v>
      </c>
      <c r="C367" s="567" t="s">
        <v>157</v>
      </c>
      <c r="D367" s="567"/>
      <c r="E367" s="567"/>
      <c r="F367" s="567"/>
      <c r="G367" s="559" t="s">
        <v>23</v>
      </c>
      <c r="O367" s="475" t="str">
        <f>IF(P367=1, "&lt;===", "")</f>
        <v/>
      </c>
      <c r="P367" s="364" t="str">
        <f>IF(AND(G367="Please Select",D432&lt;&gt;""),1,"")</f>
        <v/>
      </c>
      <c r="BA367" s="287"/>
      <c r="BB367" s="287"/>
      <c r="BC367" s="287"/>
      <c r="BD367" s="287"/>
      <c r="BE367" s="287"/>
      <c r="BF367" s="287"/>
      <c r="BG367" s="287"/>
      <c r="BH367" s="287"/>
      <c r="BI367" s="287"/>
      <c r="BJ367" s="287"/>
      <c r="BK367" s="287"/>
      <c r="BL367" s="287"/>
      <c r="BM367" s="287"/>
      <c r="BN367" s="287"/>
      <c r="BO367" s="287"/>
      <c r="BP367" s="287"/>
      <c r="BQ367" s="287"/>
      <c r="BR367" s="287"/>
      <c r="BS367" s="287"/>
      <c r="BT367" s="287"/>
      <c r="BU367" s="287"/>
      <c r="BV367" s="287"/>
      <c r="BW367" s="287"/>
      <c r="BX367" s="287"/>
      <c r="BY367" s="287"/>
      <c r="BZ367" s="287"/>
      <c r="CA367" s="287"/>
      <c r="CB367" s="287"/>
      <c r="CC367" s="287"/>
      <c r="CD367" s="287"/>
      <c r="CE367" s="287"/>
      <c r="CF367" s="287"/>
      <c r="CG367" s="287"/>
      <c r="CH367" s="287"/>
      <c r="CI367" s="287"/>
      <c r="CJ367" s="287"/>
      <c r="CK367" s="287"/>
      <c r="CL367" s="287"/>
      <c r="CM367" s="287"/>
      <c r="CN367" s="287"/>
      <c r="CO367" s="287"/>
      <c r="CP367" s="287"/>
      <c r="CQ367" s="287"/>
      <c r="CR367" s="287"/>
      <c r="CS367" s="287"/>
      <c r="CT367" s="287"/>
      <c r="CU367" s="287"/>
      <c r="CV367" s="287"/>
      <c r="CW367" s="287"/>
      <c r="CX367" s="287"/>
      <c r="CY367" s="287"/>
      <c r="CZ367" s="287"/>
      <c r="DA367" s="287"/>
      <c r="DB367" s="287"/>
      <c r="DC367" s="287"/>
      <c r="DD367" s="287"/>
      <c r="DE367" s="287"/>
      <c r="DF367" s="287"/>
      <c r="DG367" s="287"/>
      <c r="DH367" s="287"/>
      <c r="DI367" s="287"/>
      <c r="DJ367" s="287"/>
      <c r="DK367" s="287"/>
      <c r="DL367" s="287"/>
      <c r="DM367" s="287"/>
      <c r="DN367" s="287"/>
      <c r="DO367" s="287"/>
      <c r="DP367" s="287"/>
    </row>
    <row r="368" spans="1:120" s="427" customFormat="1" ht="12" customHeight="1" x14ac:dyDescent="0.25">
      <c r="A368" s="13"/>
      <c r="H368" s="547"/>
      <c r="I368" s="547"/>
      <c r="J368" s="547"/>
      <c r="K368" s="13"/>
      <c r="P368" s="548"/>
      <c r="BA368" s="287"/>
      <c r="BB368" s="287"/>
      <c r="BC368" s="287"/>
      <c r="BD368" s="287"/>
      <c r="BE368" s="287"/>
      <c r="BF368" s="287"/>
      <c r="BG368" s="287"/>
      <c r="BH368" s="287"/>
      <c r="BI368" s="287"/>
      <c r="BJ368" s="287"/>
      <c r="BK368" s="287"/>
      <c r="BL368" s="287"/>
      <c r="BM368" s="287"/>
      <c r="BN368" s="287"/>
      <c r="BO368" s="287"/>
      <c r="BP368" s="287"/>
      <c r="BQ368" s="287"/>
      <c r="BR368" s="287"/>
      <c r="BS368" s="287"/>
      <c r="BT368" s="287"/>
      <c r="BU368" s="287"/>
      <c r="BV368" s="287"/>
      <c r="BW368" s="287"/>
      <c r="BX368" s="287"/>
      <c r="BY368" s="287"/>
      <c r="BZ368" s="287"/>
      <c r="CA368" s="287"/>
      <c r="CB368" s="287"/>
      <c r="CC368" s="287"/>
      <c r="CD368" s="287"/>
      <c r="CE368" s="287"/>
      <c r="CF368" s="287"/>
      <c r="CG368" s="287"/>
      <c r="CH368" s="287"/>
      <c r="CI368" s="287"/>
      <c r="CJ368" s="287"/>
      <c r="CK368" s="287"/>
      <c r="CL368" s="287"/>
      <c r="CM368" s="287"/>
      <c r="CN368" s="287"/>
      <c r="CO368" s="287"/>
      <c r="CP368" s="287"/>
      <c r="CQ368" s="287"/>
      <c r="CR368" s="287"/>
      <c r="CS368" s="287"/>
      <c r="CT368" s="287"/>
      <c r="CU368" s="287"/>
      <c r="CV368" s="287"/>
      <c r="CW368" s="287"/>
      <c r="CX368" s="287"/>
      <c r="CY368" s="287"/>
      <c r="CZ368" s="287"/>
      <c r="DA368" s="287"/>
      <c r="DB368" s="287"/>
      <c r="DC368" s="287"/>
      <c r="DD368" s="287"/>
      <c r="DE368" s="287"/>
      <c r="DF368" s="287"/>
      <c r="DG368" s="287"/>
      <c r="DH368" s="287"/>
      <c r="DI368" s="287"/>
      <c r="DJ368" s="287"/>
      <c r="DK368" s="287"/>
      <c r="DL368" s="287"/>
      <c r="DM368" s="287"/>
      <c r="DN368" s="287"/>
      <c r="DO368" s="287"/>
      <c r="DP368" s="287"/>
    </row>
    <row r="369" spans="1:120" s="427" customFormat="1" ht="33" customHeight="1" x14ac:dyDescent="0.25">
      <c r="A369" s="13"/>
      <c r="B369" s="277">
        <v>8</v>
      </c>
      <c r="C369" s="567" t="s">
        <v>185</v>
      </c>
      <c r="D369" s="567"/>
      <c r="E369" s="567"/>
      <c r="F369" s="567"/>
      <c r="G369" s="279"/>
      <c r="O369" s="475" t="str">
        <f>IF(P369=1, "&lt;===", "")</f>
        <v/>
      </c>
      <c r="P369" s="364" t="str">
        <f>IF(AND(G369="",D432&lt;&gt;""),1,"")</f>
        <v/>
      </c>
      <c r="BA369" s="287"/>
      <c r="BB369" s="287"/>
      <c r="BC369" s="287"/>
      <c r="BD369" s="287"/>
      <c r="BE369" s="287"/>
      <c r="BF369" s="287"/>
      <c r="BG369" s="287"/>
      <c r="BH369" s="287"/>
      <c r="BI369" s="287"/>
      <c r="BJ369" s="287"/>
      <c r="BK369" s="287"/>
      <c r="BL369" s="287"/>
      <c r="BM369" s="287"/>
      <c r="BN369" s="287"/>
      <c r="BO369" s="287"/>
      <c r="BP369" s="287"/>
      <c r="BQ369" s="287"/>
      <c r="BR369" s="287"/>
      <c r="BS369" s="287"/>
      <c r="BT369" s="287"/>
      <c r="BU369" s="287"/>
      <c r="BV369" s="287"/>
      <c r="BW369" s="287"/>
      <c r="BX369" s="287"/>
      <c r="BY369" s="287"/>
      <c r="BZ369" s="287"/>
      <c r="CA369" s="287"/>
      <c r="CB369" s="287"/>
      <c r="CC369" s="287"/>
      <c r="CD369" s="287"/>
      <c r="CE369" s="287"/>
      <c r="CF369" s="287"/>
      <c r="CG369" s="287"/>
      <c r="CH369" s="287"/>
      <c r="CI369" s="287"/>
      <c r="CJ369" s="287"/>
      <c r="CK369" s="287"/>
      <c r="CL369" s="287"/>
      <c r="CM369" s="287"/>
      <c r="CN369" s="287"/>
      <c r="CO369" s="287"/>
      <c r="CP369" s="287"/>
      <c r="CQ369" s="287"/>
      <c r="CR369" s="287"/>
      <c r="CS369" s="287"/>
      <c r="CT369" s="287"/>
      <c r="CU369" s="287"/>
      <c r="CV369" s="287"/>
      <c r="CW369" s="287"/>
      <c r="CX369" s="287"/>
      <c r="CY369" s="287"/>
      <c r="CZ369" s="287"/>
      <c r="DA369" s="287"/>
      <c r="DB369" s="287"/>
      <c r="DC369" s="287"/>
      <c r="DD369" s="287"/>
      <c r="DE369" s="287"/>
      <c r="DF369" s="287"/>
      <c r="DG369" s="287"/>
      <c r="DH369" s="287"/>
      <c r="DI369" s="287"/>
      <c r="DJ369" s="287"/>
      <c r="DK369" s="287"/>
      <c r="DL369" s="287"/>
      <c r="DM369" s="287"/>
      <c r="DN369" s="287"/>
      <c r="DO369" s="287"/>
      <c r="DP369" s="287"/>
    </row>
    <row r="370" spans="1:120" s="427" customFormat="1" ht="16.5" customHeight="1" x14ac:dyDescent="0.25">
      <c r="A370" s="13"/>
      <c r="C370" s="573"/>
      <c r="D370" s="573"/>
      <c r="E370" s="573"/>
      <c r="F370" s="573"/>
      <c r="P370" s="548"/>
      <c r="BA370" s="287"/>
      <c r="BB370" s="287"/>
      <c r="BC370" s="287"/>
      <c r="BD370" s="287"/>
      <c r="BE370" s="287"/>
      <c r="BF370" s="287"/>
      <c r="BG370" s="287"/>
      <c r="BH370" s="287"/>
      <c r="BI370" s="287"/>
      <c r="BJ370" s="287"/>
      <c r="BK370" s="287"/>
      <c r="BL370" s="287"/>
      <c r="BM370" s="287"/>
      <c r="BN370" s="287"/>
      <c r="BO370" s="287"/>
      <c r="BP370" s="287"/>
      <c r="BQ370" s="287"/>
      <c r="BR370" s="287"/>
      <c r="BS370" s="287"/>
      <c r="BT370" s="287"/>
      <c r="BU370" s="287"/>
      <c r="BV370" s="287"/>
      <c r="BW370" s="287"/>
      <c r="BX370" s="287"/>
      <c r="BY370" s="287"/>
      <c r="BZ370" s="287"/>
      <c r="CA370" s="287"/>
      <c r="CB370" s="287"/>
      <c r="CC370" s="287"/>
      <c r="CD370" s="287"/>
      <c r="CE370" s="287"/>
      <c r="CF370" s="287"/>
      <c r="CG370" s="287"/>
      <c r="CH370" s="287"/>
      <c r="CI370" s="287"/>
      <c r="CJ370" s="287"/>
      <c r="CK370" s="287"/>
      <c r="CL370" s="287"/>
      <c r="CM370" s="287"/>
      <c r="CN370" s="287"/>
      <c r="CO370" s="287"/>
      <c r="CP370" s="287"/>
      <c r="CQ370" s="287"/>
      <c r="CR370" s="287"/>
      <c r="CS370" s="287"/>
      <c r="CT370" s="287"/>
      <c r="CU370" s="287"/>
      <c r="CV370" s="287"/>
      <c r="CW370" s="287"/>
      <c r="CX370" s="287"/>
      <c r="CY370" s="287"/>
      <c r="CZ370" s="287"/>
      <c r="DA370" s="287"/>
      <c r="DB370" s="287"/>
      <c r="DC370" s="287"/>
      <c r="DD370" s="287"/>
      <c r="DE370" s="287"/>
      <c r="DF370" s="287"/>
      <c r="DG370" s="287"/>
      <c r="DH370" s="287"/>
      <c r="DI370" s="287"/>
      <c r="DJ370" s="287"/>
      <c r="DK370" s="287"/>
      <c r="DL370" s="287"/>
      <c r="DM370" s="287"/>
      <c r="DN370" s="287"/>
      <c r="DO370" s="287"/>
      <c r="DP370" s="287"/>
    </row>
    <row r="371" spans="1:120" s="427" customFormat="1" ht="36.75" customHeight="1" x14ac:dyDescent="0.25">
      <c r="A371" s="13"/>
      <c r="B371" s="277">
        <v>9</v>
      </c>
      <c r="C371" s="569" t="s">
        <v>158</v>
      </c>
      <c r="D371" s="569"/>
      <c r="E371" s="569"/>
      <c r="F371" s="569"/>
      <c r="G371" s="569"/>
      <c r="I371" s="13"/>
      <c r="K371" s="13"/>
      <c r="O371" s="475"/>
      <c r="P371" s="364"/>
      <c r="BA371" s="287"/>
      <c r="BB371" s="287"/>
      <c r="BC371" s="287"/>
      <c r="BD371" s="287"/>
      <c r="BE371" s="287"/>
      <c r="BF371" s="287"/>
      <c r="BG371" s="287"/>
      <c r="BH371" s="287"/>
      <c r="BI371" s="287"/>
      <c r="BJ371" s="287"/>
      <c r="BK371" s="287"/>
      <c r="BL371" s="287"/>
      <c r="BM371" s="287"/>
      <c r="BN371" s="287"/>
      <c r="BO371" s="287"/>
      <c r="BP371" s="287"/>
      <c r="BQ371" s="287"/>
      <c r="BR371" s="287"/>
      <c r="BS371" s="287"/>
      <c r="BT371" s="287"/>
      <c r="BU371" s="287"/>
      <c r="BV371" s="287"/>
      <c r="BW371" s="287"/>
      <c r="BX371" s="287"/>
      <c r="BY371" s="287"/>
      <c r="BZ371" s="287"/>
      <c r="CA371" s="287"/>
      <c r="CB371" s="287"/>
      <c r="CC371" s="287"/>
      <c r="CD371" s="287"/>
      <c r="CE371" s="287"/>
      <c r="CF371" s="287"/>
      <c r="CG371" s="287"/>
      <c r="CH371" s="287"/>
      <c r="CI371" s="287"/>
      <c r="CJ371" s="287"/>
      <c r="CK371" s="287"/>
      <c r="CL371" s="287"/>
      <c r="CM371" s="287"/>
      <c r="CN371" s="287"/>
      <c r="CO371" s="287"/>
      <c r="CP371" s="287"/>
      <c r="CQ371" s="287"/>
      <c r="CR371" s="287"/>
      <c r="CS371" s="287"/>
      <c r="CT371" s="287"/>
      <c r="CU371" s="287"/>
      <c r="CV371" s="287"/>
      <c r="CW371" s="287"/>
      <c r="CX371" s="287"/>
      <c r="CY371" s="287"/>
      <c r="CZ371" s="287"/>
      <c r="DA371" s="287"/>
      <c r="DB371" s="287"/>
      <c r="DC371" s="287"/>
      <c r="DD371" s="287"/>
      <c r="DE371" s="287"/>
      <c r="DF371" s="287"/>
      <c r="DG371" s="287"/>
      <c r="DH371" s="287"/>
      <c r="DI371" s="287"/>
      <c r="DJ371" s="287"/>
      <c r="DK371" s="287"/>
      <c r="DL371" s="287"/>
      <c r="DM371" s="287"/>
      <c r="DN371" s="287"/>
      <c r="DO371" s="287"/>
      <c r="DP371" s="287"/>
    </row>
    <row r="372" spans="1:120" s="550" customFormat="1" ht="39.75" customHeight="1" x14ac:dyDescent="0.25">
      <c r="A372" s="204"/>
      <c r="C372" s="549"/>
      <c r="D372" s="607" t="s">
        <v>166</v>
      </c>
      <c r="E372" s="607"/>
      <c r="F372" s="607"/>
      <c r="G372" s="607"/>
      <c r="H372" s="607"/>
      <c r="I372" s="607"/>
      <c r="J372" s="204"/>
      <c r="K372" s="204"/>
      <c r="P372" s="386"/>
      <c r="BA372" s="437"/>
      <c r="BB372" s="437"/>
      <c r="BC372" s="437"/>
      <c r="BD372" s="437"/>
      <c r="BE372" s="437"/>
      <c r="BF372" s="437"/>
      <c r="BG372" s="437"/>
      <c r="BH372" s="437"/>
      <c r="BI372" s="437"/>
      <c r="BJ372" s="437"/>
      <c r="BK372" s="437"/>
      <c r="BL372" s="437"/>
      <c r="BM372" s="437"/>
      <c r="BN372" s="437"/>
      <c r="BO372" s="437"/>
      <c r="BP372" s="437"/>
      <c r="BQ372" s="437"/>
      <c r="BR372" s="437"/>
      <c r="BS372" s="437"/>
      <c r="BT372" s="437"/>
      <c r="BU372" s="437"/>
      <c r="BV372" s="437"/>
      <c r="BW372" s="437"/>
      <c r="BX372" s="437"/>
      <c r="BY372" s="437"/>
      <c r="BZ372" s="437"/>
      <c r="CA372" s="437"/>
      <c r="CB372" s="437"/>
      <c r="CC372" s="437"/>
      <c r="CD372" s="437"/>
      <c r="CE372" s="437"/>
      <c r="CF372" s="437"/>
      <c r="CG372" s="437"/>
      <c r="CH372" s="437"/>
      <c r="CI372" s="437"/>
      <c r="CJ372" s="437"/>
      <c r="CK372" s="437"/>
      <c r="CL372" s="437"/>
      <c r="CM372" s="437"/>
      <c r="CN372" s="437"/>
      <c r="CO372" s="437"/>
      <c r="CP372" s="437"/>
      <c r="CQ372" s="437"/>
      <c r="CR372" s="437"/>
      <c r="CS372" s="437"/>
      <c r="CT372" s="437"/>
      <c r="CU372" s="437"/>
      <c r="CV372" s="437"/>
      <c r="CW372" s="437"/>
      <c r="CX372" s="437"/>
      <c r="CY372" s="437"/>
      <c r="CZ372" s="437"/>
      <c r="DA372" s="437"/>
      <c r="DB372" s="437"/>
      <c r="DC372" s="437"/>
      <c r="DD372" s="437"/>
      <c r="DE372" s="437"/>
      <c r="DF372" s="437"/>
      <c r="DG372" s="437"/>
      <c r="DH372" s="437"/>
      <c r="DI372" s="437"/>
      <c r="DJ372" s="437"/>
      <c r="DK372" s="437"/>
      <c r="DL372" s="437"/>
      <c r="DM372" s="437"/>
      <c r="DN372" s="437"/>
      <c r="DO372" s="437"/>
      <c r="DP372" s="437"/>
    </row>
    <row r="373" spans="1:120" s="427" customFormat="1" ht="21.75" customHeight="1" x14ac:dyDescent="0.25">
      <c r="A373" s="13"/>
      <c r="C373" s="413"/>
      <c r="D373" s="571" t="s">
        <v>159</v>
      </c>
      <c r="E373" s="571"/>
      <c r="F373" s="571"/>
      <c r="G373" s="285"/>
      <c r="H373" s="545" t="s">
        <v>137</v>
      </c>
      <c r="O373" s="475" t="str">
        <f>IF(P373=1, "&lt;===", "")</f>
        <v/>
      </c>
      <c r="P373" s="548" t="str">
        <f>IF(AND(G373="",D432&lt;&gt;""), 1, "")</f>
        <v/>
      </c>
      <c r="BA373" s="287"/>
      <c r="BB373" s="287"/>
      <c r="BC373" s="287"/>
      <c r="BD373" s="287"/>
      <c r="BE373" s="287"/>
      <c r="BF373" s="287"/>
      <c r="BG373" s="287"/>
      <c r="BH373" s="287"/>
      <c r="BI373" s="287"/>
      <c r="BJ373" s="287"/>
      <c r="BK373" s="287"/>
      <c r="BL373" s="287"/>
      <c r="BM373" s="287"/>
      <c r="BN373" s="287"/>
      <c r="BO373" s="287"/>
      <c r="BP373" s="287"/>
      <c r="BQ373" s="287"/>
      <c r="BR373" s="287"/>
      <c r="BS373" s="287"/>
      <c r="BT373" s="287"/>
      <c r="BU373" s="287"/>
      <c r="BV373" s="287"/>
      <c r="BW373" s="287"/>
      <c r="BX373" s="287"/>
      <c r="BY373" s="287"/>
      <c r="BZ373" s="287"/>
      <c r="CA373" s="287"/>
      <c r="CB373" s="287"/>
      <c r="CC373" s="287"/>
      <c r="CD373" s="287"/>
      <c r="CE373" s="287"/>
      <c r="CF373" s="287"/>
      <c r="CG373" s="287"/>
      <c r="CH373" s="287"/>
      <c r="CI373" s="287"/>
      <c r="CJ373" s="287"/>
      <c r="CK373" s="287"/>
      <c r="CL373" s="287"/>
      <c r="CM373" s="287"/>
      <c r="CN373" s="287"/>
      <c r="CO373" s="287"/>
      <c r="CP373" s="287"/>
      <c r="CQ373" s="287"/>
      <c r="CR373" s="287"/>
      <c r="CS373" s="287"/>
      <c r="CT373" s="287"/>
      <c r="CU373" s="287"/>
      <c r="CV373" s="287"/>
      <c r="CW373" s="287"/>
      <c r="CX373" s="287"/>
      <c r="CY373" s="287"/>
      <c r="CZ373" s="287"/>
      <c r="DA373" s="287"/>
      <c r="DB373" s="287"/>
      <c r="DC373" s="287"/>
      <c r="DD373" s="287"/>
      <c r="DE373" s="287"/>
      <c r="DF373" s="287"/>
      <c r="DG373" s="287"/>
      <c r="DH373" s="287"/>
      <c r="DI373" s="287"/>
      <c r="DJ373" s="287"/>
      <c r="DK373" s="287"/>
      <c r="DL373" s="287"/>
      <c r="DM373" s="287"/>
      <c r="DN373" s="287"/>
      <c r="DO373" s="287"/>
      <c r="DP373" s="287"/>
    </row>
    <row r="374" spans="1:120" s="427" customFormat="1" ht="10.5" customHeight="1" x14ac:dyDescent="0.25">
      <c r="A374" s="13"/>
      <c r="D374" s="201"/>
      <c r="E374" s="201"/>
      <c r="F374" s="201"/>
      <c r="G374" s="381"/>
      <c r="P374" s="548"/>
      <c r="BA374" s="287"/>
      <c r="BB374" s="287"/>
      <c r="BC374" s="287"/>
      <c r="BD374" s="287"/>
      <c r="BE374" s="287"/>
      <c r="BF374" s="287"/>
      <c r="BG374" s="287"/>
      <c r="BH374" s="287"/>
      <c r="BI374" s="287"/>
      <c r="BJ374" s="287"/>
      <c r="BK374" s="287"/>
      <c r="BL374" s="287"/>
      <c r="BM374" s="287"/>
      <c r="BN374" s="287"/>
      <c r="BO374" s="287"/>
      <c r="BP374" s="287"/>
      <c r="BQ374" s="287"/>
      <c r="BR374" s="287"/>
      <c r="BS374" s="287"/>
      <c r="BT374" s="287"/>
      <c r="BU374" s="287"/>
      <c r="BV374" s="287"/>
      <c r="BW374" s="287"/>
      <c r="BX374" s="287"/>
      <c r="BY374" s="287"/>
      <c r="BZ374" s="287"/>
      <c r="CA374" s="287"/>
      <c r="CB374" s="287"/>
      <c r="CC374" s="287"/>
      <c r="CD374" s="287"/>
      <c r="CE374" s="287"/>
      <c r="CF374" s="287"/>
      <c r="CG374" s="287"/>
      <c r="CH374" s="287"/>
      <c r="CI374" s="287"/>
      <c r="CJ374" s="287"/>
      <c r="CK374" s="287"/>
      <c r="CL374" s="287"/>
      <c r="CM374" s="287"/>
      <c r="CN374" s="287"/>
      <c r="CO374" s="287"/>
      <c r="CP374" s="287"/>
      <c r="CQ374" s="287"/>
      <c r="CR374" s="287"/>
      <c r="CS374" s="287"/>
      <c r="CT374" s="287"/>
      <c r="CU374" s="287"/>
      <c r="CV374" s="287"/>
      <c r="CW374" s="287"/>
      <c r="CX374" s="287"/>
      <c r="CY374" s="287"/>
      <c r="CZ374" s="287"/>
      <c r="DA374" s="287"/>
      <c r="DB374" s="287"/>
      <c r="DC374" s="287"/>
      <c r="DD374" s="287"/>
      <c r="DE374" s="287"/>
      <c r="DF374" s="287"/>
      <c r="DG374" s="287"/>
      <c r="DH374" s="287"/>
      <c r="DI374" s="287"/>
      <c r="DJ374" s="287"/>
      <c r="DK374" s="287"/>
      <c r="DL374" s="287"/>
      <c r="DM374" s="287"/>
      <c r="DN374" s="287"/>
      <c r="DO374" s="287"/>
      <c r="DP374" s="287"/>
    </row>
    <row r="375" spans="1:120" s="427" customFormat="1" ht="21.75" customHeight="1" x14ac:dyDescent="0.25">
      <c r="A375" s="13"/>
      <c r="C375" s="546"/>
      <c r="D375" s="571" t="s">
        <v>160</v>
      </c>
      <c r="E375" s="571"/>
      <c r="F375" s="606"/>
      <c r="G375" s="285"/>
      <c r="H375" s="545" t="s">
        <v>137</v>
      </c>
      <c r="O375" s="475" t="str">
        <f>IF(P375=1, "&lt;===", "")</f>
        <v/>
      </c>
      <c r="P375" s="386" t="str">
        <f>IF(AND(G375="",D432&lt;&gt;""), 1, "")</f>
        <v/>
      </c>
      <c r="BA375" s="287"/>
      <c r="BB375" s="287"/>
      <c r="BC375" s="287"/>
      <c r="BD375" s="287"/>
      <c r="BE375" s="287"/>
      <c r="BF375" s="287"/>
      <c r="BG375" s="287"/>
      <c r="BH375" s="287"/>
      <c r="BI375" s="287"/>
      <c r="BJ375" s="287"/>
      <c r="BK375" s="287"/>
      <c r="BL375" s="287"/>
      <c r="BM375" s="287"/>
      <c r="BN375" s="287"/>
      <c r="BO375" s="287"/>
      <c r="BP375" s="287"/>
      <c r="BQ375" s="287"/>
      <c r="BR375" s="287"/>
      <c r="BS375" s="287"/>
      <c r="BT375" s="287"/>
      <c r="BU375" s="287"/>
      <c r="BV375" s="287"/>
      <c r="BW375" s="287"/>
      <c r="BX375" s="287"/>
      <c r="BY375" s="287"/>
      <c r="BZ375" s="287"/>
      <c r="CA375" s="287"/>
      <c r="CB375" s="287"/>
      <c r="CC375" s="287"/>
      <c r="CD375" s="287"/>
      <c r="CE375" s="287"/>
      <c r="CF375" s="287"/>
      <c r="CG375" s="287"/>
      <c r="CH375" s="287"/>
      <c r="CI375" s="287"/>
      <c r="CJ375" s="287"/>
      <c r="CK375" s="287"/>
      <c r="CL375" s="287"/>
      <c r="CM375" s="287"/>
      <c r="CN375" s="287"/>
      <c r="CO375" s="287"/>
      <c r="CP375" s="287"/>
      <c r="CQ375" s="287"/>
      <c r="CR375" s="287"/>
      <c r="CS375" s="287"/>
      <c r="CT375" s="287"/>
      <c r="CU375" s="287"/>
      <c r="CV375" s="287"/>
      <c r="CW375" s="287"/>
      <c r="CX375" s="287"/>
      <c r="CY375" s="287"/>
      <c r="CZ375" s="287"/>
      <c r="DA375" s="287"/>
      <c r="DB375" s="287"/>
      <c r="DC375" s="287"/>
      <c r="DD375" s="287"/>
      <c r="DE375" s="287"/>
      <c r="DF375" s="287"/>
      <c r="DG375" s="287"/>
      <c r="DH375" s="287"/>
      <c r="DI375" s="287"/>
      <c r="DJ375" s="287"/>
      <c r="DK375" s="287"/>
      <c r="DL375" s="287"/>
      <c r="DM375" s="287"/>
      <c r="DN375" s="287"/>
      <c r="DO375" s="287"/>
      <c r="DP375" s="287"/>
    </row>
    <row r="376" spans="1:120" s="427" customFormat="1" ht="10.5" customHeight="1" x14ac:dyDescent="0.25">
      <c r="A376" s="13"/>
      <c r="D376" s="201"/>
      <c r="E376" s="201"/>
      <c r="F376" s="201"/>
      <c r="G376" s="381"/>
      <c r="P376" s="548"/>
      <c r="BA376" s="287"/>
      <c r="BB376" s="287"/>
      <c r="BC376" s="287"/>
      <c r="BD376" s="287"/>
      <c r="BE376" s="287"/>
      <c r="BF376" s="287"/>
      <c r="BG376" s="287"/>
      <c r="BH376" s="287"/>
      <c r="BI376" s="287"/>
      <c r="BJ376" s="287"/>
      <c r="BK376" s="287"/>
      <c r="BL376" s="287"/>
      <c r="BM376" s="287"/>
      <c r="BN376" s="287"/>
      <c r="BO376" s="287"/>
      <c r="BP376" s="287"/>
      <c r="BQ376" s="287"/>
      <c r="BR376" s="287"/>
      <c r="BS376" s="287"/>
      <c r="BT376" s="287"/>
      <c r="BU376" s="287"/>
      <c r="BV376" s="287"/>
      <c r="BW376" s="287"/>
      <c r="BX376" s="287"/>
      <c r="BY376" s="287"/>
      <c r="BZ376" s="287"/>
      <c r="CA376" s="287"/>
      <c r="CB376" s="287"/>
      <c r="CC376" s="287"/>
      <c r="CD376" s="287"/>
      <c r="CE376" s="287"/>
      <c r="CF376" s="287"/>
      <c r="CG376" s="287"/>
      <c r="CH376" s="287"/>
      <c r="CI376" s="287"/>
      <c r="CJ376" s="287"/>
      <c r="CK376" s="287"/>
      <c r="CL376" s="287"/>
      <c r="CM376" s="287"/>
      <c r="CN376" s="287"/>
      <c r="CO376" s="287"/>
      <c r="CP376" s="287"/>
      <c r="CQ376" s="287"/>
      <c r="CR376" s="287"/>
      <c r="CS376" s="287"/>
      <c r="CT376" s="287"/>
      <c r="CU376" s="287"/>
      <c r="CV376" s="287"/>
      <c r="CW376" s="287"/>
      <c r="CX376" s="287"/>
      <c r="CY376" s="287"/>
      <c r="CZ376" s="287"/>
      <c r="DA376" s="287"/>
      <c r="DB376" s="287"/>
      <c r="DC376" s="287"/>
      <c r="DD376" s="287"/>
      <c r="DE376" s="287"/>
      <c r="DF376" s="287"/>
      <c r="DG376" s="287"/>
      <c r="DH376" s="287"/>
      <c r="DI376" s="287"/>
      <c r="DJ376" s="287"/>
      <c r="DK376" s="287"/>
      <c r="DL376" s="287"/>
      <c r="DM376" s="287"/>
      <c r="DN376" s="287"/>
      <c r="DO376" s="287"/>
      <c r="DP376" s="287"/>
    </row>
    <row r="377" spans="1:120" s="427" customFormat="1" ht="21.75" customHeight="1" x14ac:dyDescent="0.25">
      <c r="A377" s="13"/>
      <c r="C377" s="413"/>
      <c r="D377" s="571" t="s">
        <v>161</v>
      </c>
      <c r="E377" s="571"/>
      <c r="F377" s="571"/>
      <c r="G377" s="285"/>
      <c r="H377" s="545" t="s">
        <v>137</v>
      </c>
      <c r="O377" s="475" t="str">
        <f>IF(P377=1, "&lt;===", "")</f>
        <v/>
      </c>
      <c r="P377" s="548" t="str">
        <f>IF(AND(G377="",D432&lt;&gt;""), 1, "")</f>
        <v/>
      </c>
      <c r="BA377" s="287"/>
      <c r="BB377" s="287"/>
      <c r="BC377" s="287"/>
      <c r="BD377" s="287"/>
      <c r="BE377" s="287"/>
      <c r="BF377" s="287"/>
      <c r="BG377" s="287"/>
      <c r="BH377" s="287"/>
      <c r="BI377" s="287"/>
      <c r="BJ377" s="287"/>
      <c r="BK377" s="287"/>
      <c r="BL377" s="287"/>
      <c r="BM377" s="287"/>
      <c r="BN377" s="287"/>
      <c r="BO377" s="287"/>
      <c r="BP377" s="287"/>
      <c r="BQ377" s="287"/>
      <c r="BR377" s="287"/>
      <c r="BS377" s="287"/>
      <c r="BT377" s="287"/>
      <c r="BU377" s="287"/>
      <c r="BV377" s="287"/>
      <c r="BW377" s="287"/>
      <c r="BX377" s="287"/>
      <c r="BY377" s="287"/>
      <c r="BZ377" s="287"/>
      <c r="CA377" s="287"/>
      <c r="CB377" s="287"/>
      <c r="CC377" s="287"/>
      <c r="CD377" s="287"/>
      <c r="CE377" s="287"/>
      <c r="CF377" s="287"/>
      <c r="CG377" s="287"/>
      <c r="CH377" s="287"/>
      <c r="CI377" s="287"/>
      <c r="CJ377" s="287"/>
      <c r="CK377" s="287"/>
      <c r="CL377" s="287"/>
      <c r="CM377" s="287"/>
      <c r="CN377" s="287"/>
      <c r="CO377" s="287"/>
      <c r="CP377" s="287"/>
      <c r="CQ377" s="287"/>
      <c r="CR377" s="287"/>
      <c r="CS377" s="287"/>
      <c r="CT377" s="287"/>
      <c r="CU377" s="287"/>
      <c r="CV377" s="287"/>
      <c r="CW377" s="287"/>
      <c r="CX377" s="287"/>
      <c r="CY377" s="287"/>
      <c r="CZ377" s="287"/>
      <c r="DA377" s="287"/>
      <c r="DB377" s="287"/>
      <c r="DC377" s="287"/>
      <c r="DD377" s="287"/>
      <c r="DE377" s="287"/>
      <c r="DF377" s="287"/>
      <c r="DG377" s="287"/>
      <c r="DH377" s="287"/>
      <c r="DI377" s="287"/>
      <c r="DJ377" s="287"/>
      <c r="DK377" s="287"/>
      <c r="DL377" s="287"/>
      <c r="DM377" s="287"/>
      <c r="DN377" s="287"/>
      <c r="DO377" s="287"/>
      <c r="DP377" s="287"/>
    </row>
    <row r="378" spans="1:120" s="427" customFormat="1" ht="10.5" customHeight="1" x14ac:dyDescent="0.25">
      <c r="A378" s="13"/>
      <c r="D378" s="201"/>
      <c r="E378" s="201"/>
      <c r="F378" s="201"/>
      <c r="G378" s="381"/>
      <c r="P378" s="548"/>
      <c r="BA378" s="287"/>
      <c r="BB378" s="287"/>
      <c r="BC378" s="287"/>
      <c r="BD378" s="287"/>
      <c r="BE378" s="287"/>
      <c r="BF378" s="287"/>
      <c r="BG378" s="287"/>
      <c r="BH378" s="287"/>
      <c r="BI378" s="287"/>
      <c r="BJ378" s="287"/>
      <c r="BK378" s="287"/>
      <c r="BL378" s="287"/>
      <c r="BM378" s="287"/>
      <c r="BN378" s="287"/>
      <c r="BO378" s="287"/>
      <c r="BP378" s="287"/>
      <c r="BQ378" s="287"/>
      <c r="BR378" s="287"/>
      <c r="BS378" s="287"/>
      <c r="BT378" s="287"/>
      <c r="BU378" s="287"/>
      <c r="BV378" s="287"/>
      <c r="BW378" s="287"/>
      <c r="BX378" s="287"/>
      <c r="BY378" s="287"/>
      <c r="BZ378" s="287"/>
      <c r="CA378" s="287"/>
      <c r="CB378" s="287"/>
      <c r="CC378" s="287"/>
      <c r="CD378" s="287"/>
      <c r="CE378" s="287"/>
      <c r="CF378" s="287"/>
      <c r="CG378" s="287"/>
      <c r="CH378" s="287"/>
      <c r="CI378" s="287"/>
      <c r="CJ378" s="287"/>
      <c r="CK378" s="287"/>
      <c r="CL378" s="287"/>
      <c r="CM378" s="287"/>
      <c r="CN378" s="287"/>
      <c r="CO378" s="287"/>
      <c r="CP378" s="287"/>
      <c r="CQ378" s="287"/>
      <c r="CR378" s="287"/>
      <c r="CS378" s="287"/>
      <c r="CT378" s="287"/>
      <c r="CU378" s="287"/>
      <c r="CV378" s="287"/>
      <c r="CW378" s="287"/>
      <c r="CX378" s="287"/>
      <c r="CY378" s="287"/>
      <c r="CZ378" s="287"/>
      <c r="DA378" s="287"/>
      <c r="DB378" s="287"/>
      <c r="DC378" s="287"/>
      <c r="DD378" s="287"/>
      <c r="DE378" s="287"/>
      <c r="DF378" s="287"/>
      <c r="DG378" s="287"/>
      <c r="DH378" s="287"/>
      <c r="DI378" s="287"/>
      <c r="DJ378" s="287"/>
      <c r="DK378" s="287"/>
      <c r="DL378" s="287"/>
      <c r="DM378" s="287"/>
      <c r="DN378" s="287"/>
      <c r="DO378" s="287"/>
      <c r="DP378" s="287"/>
    </row>
    <row r="379" spans="1:120" s="427" customFormat="1" ht="29.25" customHeight="1" x14ac:dyDescent="0.25">
      <c r="A379" s="13"/>
      <c r="C379" s="546"/>
      <c r="D379" s="571" t="s">
        <v>162</v>
      </c>
      <c r="E379" s="571"/>
      <c r="F379" s="606"/>
      <c r="G379" s="285"/>
      <c r="H379" s="545" t="s">
        <v>137</v>
      </c>
      <c r="O379" s="475" t="str">
        <f>IF(P379=1, "&lt;===", "")</f>
        <v/>
      </c>
      <c r="P379" s="386" t="str">
        <f>IF(AND(G379="",D432&lt;&gt;""), 1, "")</f>
        <v/>
      </c>
      <c r="BA379" s="287"/>
      <c r="BB379" s="287"/>
      <c r="BC379" s="287"/>
      <c r="BD379" s="287"/>
      <c r="BE379" s="287"/>
      <c r="BF379" s="287"/>
      <c r="BG379" s="287"/>
      <c r="BH379" s="287"/>
      <c r="BI379" s="287"/>
      <c r="BJ379" s="287"/>
      <c r="BK379" s="287"/>
      <c r="BL379" s="287"/>
      <c r="BM379" s="287"/>
      <c r="BN379" s="287"/>
      <c r="BO379" s="287"/>
      <c r="BP379" s="287"/>
      <c r="BQ379" s="287"/>
      <c r="BR379" s="287"/>
      <c r="BS379" s="287"/>
      <c r="BT379" s="287"/>
      <c r="BU379" s="287"/>
      <c r="BV379" s="287"/>
      <c r="BW379" s="287"/>
      <c r="BX379" s="287"/>
      <c r="BY379" s="287"/>
      <c r="BZ379" s="287"/>
      <c r="CA379" s="287"/>
      <c r="CB379" s="287"/>
      <c r="CC379" s="287"/>
      <c r="CD379" s="287"/>
      <c r="CE379" s="287"/>
      <c r="CF379" s="287"/>
      <c r="CG379" s="287"/>
      <c r="CH379" s="287"/>
      <c r="CI379" s="287"/>
      <c r="CJ379" s="287"/>
      <c r="CK379" s="287"/>
      <c r="CL379" s="287"/>
      <c r="CM379" s="287"/>
      <c r="CN379" s="287"/>
      <c r="CO379" s="287"/>
      <c r="CP379" s="287"/>
      <c r="CQ379" s="287"/>
      <c r="CR379" s="287"/>
      <c r="CS379" s="287"/>
      <c r="CT379" s="287"/>
      <c r="CU379" s="287"/>
      <c r="CV379" s="287"/>
      <c r="CW379" s="287"/>
      <c r="CX379" s="287"/>
      <c r="CY379" s="287"/>
      <c r="CZ379" s="287"/>
      <c r="DA379" s="287"/>
      <c r="DB379" s="287"/>
      <c r="DC379" s="287"/>
      <c r="DD379" s="287"/>
      <c r="DE379" s="287"/>
      <c r="DF379" s="287"/>
      <c r="DG379" s="287"/>
      <c r="DH379" s="287"/>
      <c r="DI379" s="287"/>
      <c r="DJ379" s="287"/>
      <c r="DK379" s="287"/>
      <c r="DL379" s="287"/>
      <c r="DM379" s="287"/>
      <c r="DN379" s="287"/>
      <c r="DO379" s="287"/>
      <c r="DP379" s="287"/>
    </row>
    <row r="380" spans="1:120" s="427" customFormat="1" ht="10.5" customHeight="1" x14ac:dyDescent="0.25">
      <c r="A380" s="13"/>
      <c r="D380" s="201"/>
      <c r="E380" s="201"/>
      <c r="F380" s="201"/>
      <c r="G380" s="381"/>
      <c r="P380" s="548"/>
      <c r="BA380" s="287"/>
      <c r="BB380" s="287"/>
      <c r="BC380" s="287"/>
      <c r="BD380" s="287"/>
      <c r="BE380" s="287"/>
      <c r="BF380" s="287"/>
      <c r="BG380" s="287"/>
      <c r="BH380" s="287"/>
      <c r="BI380" s="287"/>
      <c r="BJ380" s="287"/>
      <c r="BK380" s="287"/>
      <c r="BL380" s="287"/>
      <c r="BM380" s="287"/>
      <c r="BN380" s="287"/>
      <c r="BO380" s="287"/>
      <c r="BP380" s="287"/>
      <c r="BQ380" s="287"/>
      <c r="BR380" s="287"/>
      <c r="BS380" s="287"/>
      <c r="BT380" s="287"/>
      <c r="BU380" s="287"/>
      <c r="BV380" s="287"/>
      <c r="BW380" s="287"/>
      <c r="BX380" s="287"/>
      <c r="BY380" s="287"/>
      <c r="BZ380" s="287"/>
      <c r="CA380" s="287"/>
      <c r="CB380" s="287"/>
      <c r="CC380" s="287"/>
      <c r="CD380" s="287"/>
      <c r="CE380" s="287"/>
      <c r="CF380" s="287"/>
      <c r="CG380" s="287"/>
      <c r="CH380" s="287"/>
      <c r="CI380" s="287"/>
      <c r="CJ380" s="287"/>
      <c r="CK380" s="287"/>
      <c r="CL380" s="287"/>
      <c r="CM380" s="287"/>
      <c r="CN380" s="287"/>
      <c r="CO380" s="287"/>
      <c r="CP380" s="287"/>
      <c r="CQ380" s="287"/>
      <c r="CR380" s="287"/>
      <c r="CS380" s="287"/>
      <c r="CT380" s="287"/>
      <c r="CU380" s="287"/>
      <c r="CV380" s="287"/>
      <c r="CW380" s="287"/>
      <c r="CX380" s="287"/>
      <c r="CY380" s="287"/>
      <c r="CZ380" s="287"/>
      <c r="DA380" s="287"/>
      <c r="DB380" s="287"/>
      <c r="DC380" s="287"/>
      <c r="DD380" s="287"/>
      <c r="DE380" s="287"/>
      <c r="DF380" s="287"/>
      <c r="DG380" s="287"/>
      <c r="DH380" s="287"/>
      <c r="DI380" s="287"/>
      <c r="DJ380" s="287"/>
      <c r="DK380" s="287"/>
      <c r="DL380" s="287"/>
      <c r="DM380" s="287"/>
      <c r="DN380" s="287"/>
      <c r="DO380" s="287"/>
      <c r="DP380" s="287"/>
    </row>
    <row r="381" spans="1:120" s="427" customFormat="1" ht="36.75" customHeight="1" x14ac:dyDescent="0.25">
      <c r="A381" s="13"/>
      <c r="C381" s="546"/>
      <c r="D381" s="571" t="s">
        <v>163</v>
      </c>
      <c r="E381" s="571"/>
      <c r="F381" s="606"/>
      <c r="G381" s="285"/>
      <c r="H381" s="545" t="s">
        <v>137</v>
      </c>
      <c r="O381" s="475" t="str">
        <f>IF(P381=1, "&lt;===", "")</f>
        <v/>
      </c>
      <c r="P381" s="386" t="str">
        <f>IF(AND(G381="",D432&lt;&gt;""), 1, "")</f>
        <v/>
      </c>
      <c r="BA381" s="287"/>
      <c r="BB381" s="287"/>
      <c r="BC381" s="287"/>
      <c r="BD381" s="287"/>
      <c r="BE381" s="287"/>
      <c r="BF381" s="287"/>
      <c r="BG381" s="287"/>
      <c r="BH381" s="287"/>
      <c r="BI381" s="287"/>
      <c r="BJ381" s="287"/>
      <c r="BK381" s="287"/>
      <c r="BL381" s="287"/>
      <c r="BM381" s="287"/>
      <c r="BN381" s="287"/>
      <c r="BO381" s="287"/>
      <c r="BP381" s="287"/>
      <c r="BQ381" s="287"/>
      <c r="BR381" s="287"/>
      <c r="BS381" s="287"/>
      <c r="BT381" s="287"/>
      <c r="BU381" s="287"/>
      <c r="BV381" s="287"/>
      <c r="BW381" s="287"/>
      <c r="BX381" s="287"/>
      <c r="BY381" s="287"/>
      <c r="BZ381" s="287"/>
      <c r="CA381" s="287"/>
      <c r="CB381" s="287"/>
      <c r="CC381" s="287"/>
      <c r="CD381" s="287"/>
      <c r="CE381" s="287"/>
      <c r="CF381" s="287"/>
      <c r="CG381" s="287"/>
      <c r="CH381" s="287"/>
      <c r="CI381" s="287"/>
      <c r="CJ381" s="287"/>
      <c r="CK381" s="287"/>
      <c r="CL381" s="287"/>
      <c r="CM381" s="287"/>
      <c r="CN381" s="287"/>
      <c r="CO381" s="287"/>
      <c r="CP381" s="287"/>
      <c r="CQ381" s="287"/>
      <c r="CR381" s="287"/>
      <c r="CS381" s="287"/>
      <c r="CT381" s="287"/>
      <c r="CU381" s="287"/>
      <c r="CV381" s="287"/>
      <c r="CW381" s="287"/>
      <c r="CX381" s="287"/>
      <c r="CY381" s="287"/>
      <c r="CZ381" s="287"/>
      <c r="DA381" s="287"/>
      <c r="DB381" s="287"/>
      <c r="DC381" s="287"/>
      <c r="DD381" s="287"/>
      <c r="DE381" s="287"/>
      <c r="DF381" s="287"/>
      <c r="DG381" s="287"/>
      <c r="DH381" s="287"/>
      <c r="DI381" s="287"/>
      <c r="DJ381" s="287"/>
      <c r="DK381" s="287"/>
      <c r="DL381" s="287"/>
      <c r="DM381" s="287"/>
      <c r="DN381" s="287"/>
      <c r="DO381" s="287"/>
      <c r="DP381" s="287"/>
    </row>
    <row r="382" spans="1:120" s="427" customFormat="1" ht="10.5" customHeight="1" x14ac:dyDescent="0.25">
      <c r="A382" s="13"/>
      <c r="D382" s="201"/>
      <c r="E382" s="201"/>
      <c r="F382" s="201"/>
      <c r="G382" s="381"/>
      <c r="P382" s="548"/>
      <c r="BA382" s="287"/>
      <c r="BB382" s="287"/>
      <c r="BC382" s="287"/>
      <c r="BD382" s="287"/>
      <c r="BE382" s="287"/>
      <c r="BF382" s="287"/>
      <c r="BG382" s="287"/>
      <c r="BH382" s="287"/>
      <c r="BI382" s="287"/>
      <c r="BJ382" s="287"/>
      <c r="BK382" s="287"/>
      <c r="BL382" s="287"/>
      <c r="BM382" s="287"/>
      <c r="BN382" s="287"/>
      <c r="BO382" s="287"/>
      <c r="BP382" s="287"/>
      <c r="BQ382" s="287"/>
      <c r="BR382" s="287"/>
      <c r="BS382" s="287"/>
      <c r="BT382" s="287"/>
      <c r="BU382" s="287"/>
      <c r="BV382" s="287"/>
      <c r="BW382" s="287"/>
      <c r="BX382" s="287"/>
      <c r="BY382" s="287"/>
      <c r="BZ382" s="287"/>
      <c r="CA382" s="287"/>
      <c r="CB382" s="287"/>
      <c r="CC382" s="287"/>
      <c r="CD382" s="287"/>
      <c r="CE382" s="287"/>
      <c r="CF382" s="287"/>
      <c r="CG382" s="287"/>
      <c r="CH382" s="287"/>
      <c r="CI382" s="287"/>
      <c r="CJ382" s="287"/>
      <c r="CK382" s="287"/>
      <c r="CL382" s="287"/>
      <c r="CM382" s="287"/>
      <c r="CN382" s="287"/>
      <c r="CO382" s="287"/>
      <c r="CP382" s="287"/>
      <c r="CQ382" s="287"/>
      <c r="CR382" s="287"/>
      <c r="CS382" s="287"/>
      <c r="CT382" s="287"/>
      <c r="CU382" s="287"/>
      <c r="CV382" s="287"/>
      <c r="CW382" s="287"/>
      <c r="CX382" s="287"/>
      <c r="CY382" s="287"/>
      <c r="CZ382" s="287"/>
      <c r="DA382" s="287"/>
      <c r="DB382" s="287"/>
      <c r="DC382" s="287"/>
      <c r="DD382" s="287"/>
      <c r="DE382" s="287"/>
      <c r="DF382" s="287"/>
      <c r="DG382" s="287"/>
      <c r="DH382" s="287"/>
      <c r="DI382" s="287"/>
      <c r="DJ382" s="287"/>
      <c r="DK382" s="287"/>
      <c r="DL382" s="287"/>
      <c r="DM382" s="287"/>
      <c r="DN382" s="287"/>
      <c r="DO382" s="287"/>
      <c r="DP382" s="287"/>
    </row>
    <row r="383" spans="1:120" s="427" customFormat="1" ht="21.75" customHeight="1" x14ac:dyDescent="0.25">
      <c r="A383" s="13"/>
      <c r="C383" s="413"/>
      <c r="D383" s="571" t="s">
        <v>164</v>
      </c>
      <c r="E383" s="571"/>
      <c r="F383" s="571"/>
      <c r="G383" s="285"/>
      <c r="H383" s="545" t="s">
        <v>137</v>
      </c>
      <c r="O383" s="475" t="str">
        <f>IF(P383=1, "&lt;===", "")</f>
        <v/>
      </c>
      <c r="P383" s="548" t="str">
        <f>IF(AND(G383="",D432&lt;&gt;""), 1, "")</f>
        <v/>
      </c>
      <c r="BA383" s="287"/>
      <c r="BB383" s="287"/>
      <c r="BC383" s="287"/>
      <c r="BD383" s="287"/>
      <c r="BE383" s="287"/>
      <c r="BF383" s="287"/>
      <c r="BG383" s="287"/>
      <c r="BH383" s="287"/>
      <c r="BI383" s="287"/>
      <c r="BJ383" s="287"/>
      <c r="BK383" s="287"/>
      <c r="BL383" s="287"/>
      <c r="BM383" s="287"/>
      <c r="BN383" s="287"/>
      <c r="BO383" s="287"/>
      <c r="BP383" s="287"/>
      <c r="BQ383" s="287"/>
      <c r="BR383" s="287"/>
      <c r="BS383" s="287"/>
      <c r="BT383" s="287"/>
      <c r="BU383" s="287"/>
      <c r="BV383" s="287"/>
      <c r="BW383" s="287"/>
      <c r="BX383" s="287"/>
      <c r="BY383" s="287"/>
      <c r="BZ383" s="287"/>
      <c r="CA383" s="287"/>
      <c r="CB383" s="287"/>
      <c r="CC383" s="287"/>
      <c r="CD383" s="287"/>
      <c r="CE383" s="287"/>
      <c r="CF383" s="287"/>
      <c r="CG383" s="287"/>
      <c r="CH383" s="287"/>
      <c r="CI383" s="287"/>
      <c r="CJ383" s="287"/>
      <c r="CK383" s="287"/>
      <c r="CL383" s="287"/>
      <c r="CM383" s="287"/>
      <c r="CN383" s="287"/>
      <c r="CO383" s="287"/>
      <c r="CP383" s="287"/>
      <c r="CQ383" s="287"/>
      <c r="CR383" s="287"/>
      <c r="CS383" s="287"/>
      <c r="CT383" s="287"/>
      <c r="CU383" s="287"/>
      <c r="CV383" s="287"/>
      <c r="CW383" s="287"/>
      <c r="CX383" s="287"/>
      <c r="CY383" s="287"/>
      <c r="CZ383" s="287"/>
      <c r="DA383" s="287"/>
      <c r="DB383" s="287"/>
      <c r="DC383" s="287"/>
      <c r="DD383" s="287"/>
      <c r="DE383" s="287"/>
      <c r="DF383" s="287"/>
      <c r="DG383" s="287"/>
      <c r="DH383" s="287"/>
      <c r="DI383" s="287"/>
      <c r="DJ383" s="287"/>
      <c r="DK383" s="287"/>
      <c r="DL383" s="287"/>
      <c r="DM383" s="287"/>
      <c r="DN383" s="287"/>
      <c r="DO383" s="287"/>
      <c r="DP383" s="287"/>
    </row>
    <row r="384" spans="1:120" s="427" customFormat="1" ht="10.5" customHeight="1" x14ac:dyDescent="0.25">
      <c r="A384" s="13"/>
      <c r="D384" s="201"/>
      <c r="E384" s="201"/>
      <c r="F384" s="201"/>
      <c r="G384" s="381"/>
      <c r="P384" s="548"/>
      <c r="BA384" s="287"/>
      <c r="BB384" s="287"/>
      <c r="BC384" s="287"/>
      <c r="BD384" s="287"/>
      <c r="BE384" s="287"/>
      <c r="BF384" s="287"/>
      <c r="BG384" s="287"/>
      <c r="BH384" s="287"/>
      <c r="BI384" s="287"/>
      <c r="BJ384" s="287"/>
      <c r="BK384" s="287"/>
      <c r="BL384" s="287"/>
      <c r="BM384" s="287"/>
      <c r="BN384" s="287"/>
      <c r="BO384" s="287"/>
      <c r="BP384" s="287"/>
      <c r="BQ384" s="287"/>
      <c r="BR384" s="287"/>
      <c r="BS384" s="287"/>
      <c r="BT384" s="287"/>
      <c r="BU384" s="287"/>
      <c r="BV384" s="287"/>
      <c r="BW384" s="287"/>
      <c r="BX384" s="287"/>
      <c r="BY384" s="287"/>
      <c r="BZ384" s="287"/>
      <c r="CA384" s="287"/>
      <c r="CB384" s="287"/>
      <c r="CC384" s="287"/>
      <c r="CD384" s="287"/>
      <c r="CE384" s="287"/>
      <c r="CF384" s="287"/>
      <c r="CG384" s="287"/>
      <c r="CH384" s="287"/>
      <c r="CI384" s="287"/>
      <c r="CJ384" s="287"/>
      <c r="CK384" s="287"/>
      <c r="CL384" s="287"/>
      <c r="CM384" s="287"/>
      <c r="CN384" s="287"/>
      <c r="CO384" s="287"/>
      <c r="CP384" s="287"/>
      <c r="CQ384" s="287"/>
      <c r="CR384" s="287"/>
      <c r="CS384" s="287"/>
      <c r="CT384" s="287"/>
      <c r="CU384" s="287"/>
      <c r="CV384" s="287"/>
      <c r="CW384" s="287"/>
      <c r="CX384" s="287"/>
      <c r="CY384" s="287"/>
      <c r="CZ384" s="287"/>
      <c r="DA384" s="287"/>
      <c r="DB384" s="287"/>
      <c r="DC384" s="287"/>
      <c r="DD384" s="287"/>
      <c r="DE384" s="287"/>
      <c r="DF384" s="287"/>
      <c r="DG384" s="287"/>
      <c r="DH384" s="287"/>
      <c r="DI384" s="287"/>
      <c r="DJ384" s="287"/>
      <c r="DK384" s="287"/>
      <c r="DL384" s="287"/>
      <c r="DM384" s="287"/>
      <c r="DN384" s="287"/>
      <c r="DO384" s="287"/>
      <c r="DP384" s="287"/>
    </row>
    <row r="385" spans="1:120" s="427" customFormat="1" ht="21.75" customHeight="1" x14ac:dyDescent="0.25">
      <c r="A385" s="13"/>
      <c r="C385" s="546"/>
      <c r="D385" s="571" t="s">
        <v>165</v>
      </c>
      <c r="E385" s="571"/>
      <c r="F385" s="606"/>
      <c r="G385" s="285"/>
      <c r="H385" s="545" t="s">
        <v>137</v>
      </c>
      <c r="O385" s="475" t="str">
        <f>IF(P385=1, "&lt;===", "")</f>
        <v/>
      </c>
      <c r="P385" s="386" t="str">
        <f>IF(AND(G385="",D432&lt;&gt;""), 1, "")</f>
        <v/>
      </c>
      <c r="BA385" s="287"/>
      <c r="BB385" s="287"/>
      <c r="BC385" s="287"/>
      <c r="BD385" s="287"/>
      <c r="BE385" s="287"/>
      <c r="BF385" s="287"/>
      <c r="BG385" s="287"/>
      <c r="BH385" s="287"/>
      <c r="BI385" s="287"/>
      <c r="BJ385" s="287"/>
      <c r="BK385" s="287"/>
      <c r="BL385" s="287"/>
      <c r="BM385" s="287"/>
      <c r="BN385" s="287"/>
      <c r="BO385" s="287"/>
      <c r="BP385" s="287"/>
      <c r="BQ385" s="287"/>
      <c r="BR385" s="287"/>
      <c r="BS385" s="287"/>
      <c r="BT385" s="287"/>
      <c r="BU385" s="287"/>
      <c r="BV385" s="287"/>
      <c r="BW385" s="287"/>
      <c r="BX385" s="287"/>
      <c r="BY385" s="287"/>
      <c r="BZ385" s="287"/>
      <c r="CA385" s="287"/>
      <c r="CB385" s="287"/>
      <c r="CC385" s="287"/>
      <c r="CD385" s="287"/>
      <c r="CE385" s="287"/>
      <c r="CF385" s="287"/>
      <c r="CG385" s="287"/>
      <c r="CH385" s="287"/>
      <c r="CI385" s="287"/>
      <c r="CJ385" s="287"/>
      <c r="CK385" s="287"/>
      <c r="CL385" s="287"/>
      <c r="CM385" s="287"/>
      <c r="CN385" s="287"/>
      <c r="CO385" s="287"/>
      <c r="CP385" s="287"/>
      <c r="CQ385" s="287"/>
      <c r="CR385" s="287"/>
      <c r="CS385" s="287"/>
      <c r="CT385" s="287"/>
      <c r="CU385" s="287"/>
      <c r="CV385" s="287"/>
      <c r="CW385" s="287"/>
      <c r="CX385" s="287"/>
      <c r="CY385" s="287"/>
      <c r="CZ385" s="287"/>
      <c r="DA385" s="287"/>
      <c r="DB385" s="287"/>
      <c r="DC385" s="287"/>
      <c r="DD385" s="287"/>
      <c r="DE385" s="287"/>
      <c r="DF385" s="287"/>
      <c r="DG385" s="287"/>
      <c r="DH385" s="287"/>
      <c r="DI385" s="287"/>
      <c r="DJ385" s="287"/>
      <c r="DK385" s="287"/>
      <c r="DL385" s="287"/>
      <c r="DM385" s="287"/>
      <c r="DN385" s="287"/>
      <c r="DO385" s="287"/>
      <c r="DP385" s="287"/>
    </row>
    <row r="386" spans="1:120" s="427" customFormat="1" ht="27" customHeight="1" x14ac:dyDescent="0.25">
      <c r="A386" s="13"/>
      <c r="C386" s="413"/>
      <c r="D386" s="280"/>
      <c r="E386" s="280"/>
      <c r="F386" s="383"/>
      <c r="G386" s="558">
        <f>SUM(G373,G375,G377,G379,G381,G383,G385)</f>
        <v>0</v>
      </c>
      <c r="H386" s="557" t="s">
        <v>79</v>
      </c>
      <c r="I386" s="809" t="str">
        <f>IF(G386&gt;100,"
&lt;== Total cannot be greater than 100%",IF(AND(G386&lt;&gt;0,G386&lt;100),"
&lt;== Total cannot be less than 100%",""))</f>
        <v/>
      </c>
      <c r="J386" s="809"/>
      <c r="K386" s="809"/>
      <c r="L386" s="809"/>
      <c r="O386" s="475" t="str">
        <f>IF(P386=1, "&lt;===", "")</f>
        <v/>
      </c>
      <c r="P386" s="540" t="str">
        <f>IF(AND(I386&lt;&gt;"",D432&lt;&gt;""), 1, "")</f>
        <v/>
      </c>
      <c r="BA386" s="287"/>
      <c r="BB386" s="287"/>
      <c r="BC386" s="287"/>
      <c r="BD386" s="287"/>
      <c r="BE386" s="287"/>
      <c r="BF386" s="287"/>
      <c r="BG386" s="287"/>
      <c r="BH386" s="287"/>
      <c r="BI386" s="287"/>
      <c r="BJ386" s="287"/>
      <c r="BK386" s="287"/>
      <c r="BL386" s="287"/>
      <c r="BM386" s="287"/>
      <c r="BN386" s="287"/>
      <c r="BO386" s="287"/>
      <c r="BP386" s="287"/>
      <c r="BQ386" s="287"/>
      <c r="BR386" s="287"/>
      <c r="BS386" s="287"/>
      <c r="BT386" s="287"/>
      <c r="BU386" s="287"/>
      <c r="BV386" s="287"/>
      <c r="BW386" s="287"/>
      <c r="BX386" s="287"/>
      <c r="BY386" s="287"/>
      <c r="BZ386" s="287"/>
      <c r="CA386" s="287"/>
      <c r="CB386" s="287"/>
      <c r="CC386" s="287"/>
      <c r="CD386" s="287"/>
      <c r="CE386" s="287"/>
      <c r="CF386" s="287"/>
      <c r="CG386" s="287"/>
      <c r="CH386" s="287"/>
      <c r="CI386" s="287"/>
      <c r="CJ386" s="287"/>
      <c r="CK386" s="287"/>
      <c r="CL386" s="287"/>
      <c r="CM386" s="287"/>
      <c r="CN386" s="287"/>
      <c r="CO386" s="287"/>
      <c r="CP386" s="287"/>
      <c r="CQ386" s="287"/>
      <c r="CR386" s="287"/>
      <c r="CS386" s="287"/>
      <c r="CT386" s="287"/>
      <c r="CU386" s="287"/>
      <c r="CV386" s="287"/>
      <c r="CW386" s="287"/>
      <c r="CX386" s="287"/>
      <c r="CY386" s="287"/>
      <c r="CZ386" s="287"/>
      <c r="DA386" s="287"/>
      <c r="DB386" s="287"/>
      <c r="DC386" s="287"/>
      <c r="DD386" s="287"/>
      <c r="DE386" s="287"/>
      <c r="DF386" s="287"/>
      <c r="DG386" s="287"/>
      <c r="DH386" s="287"/>
      <c r="DI386" s="287"/>
      <c r="DJ386" s="287"/>
      <c r="DK386" s="287"/>
      <c r="DL386" s="287"/>
      <c r="DM386" s="287"/>
      <c r="DN386" s="287"/>
      <c r="DO386" s="287"/>
      <c r="DP386" s="287"/>
    </row>
    <row r="387" spans="1:120" s="427" customFormat="1" ht="27" customHeight="1" x14ac:dyDescent="0.25">
      <c r="A387" s="13"/>
      <c r="C387" s="573"/>
      <c r="D387" s="573"/>
      <c r="E387" s="573"/>
      <c r="F387" s="573"/>
      <c r="P387" s="548"/>
      <c r="BA387" s="287"/>
      <c r="BB387" s="287"/>
      <c r="BC387" s="287"/>
      <c r="BD387" s="287"/>
      <c r="BE387" s="287"/>
      <c r="BF387" s="287"/>
      <c r="BG387" s="287"/>
      <c r="BH387" s="287"/>
      <c r="BI387" s="287"/>
      <c r="BJ387" s="287"/>
      <c r="BK387" s="287"/>
      <c r="BL387" s="287"/>
      <c r="BM387" s="287"/>
      <c r="BN387" s="287"/>
      <c r="BO387" s="287"/>
      <c r="BP387" s="287"/>
      <c r="BQ387" s="287"/>
      <c r="BR387" s="287"/>
      <c r="BS387" s="287"/>
      <c r="BT387" s="287"/>
      <c r="BU387" s="287"/>
      <c r="BV387" s="287"/>
      <c r="BW387" s="287"/>
      <c r="BX387" s="287"/>
      <c r="BY387" s="287"/>
      <c r="BZ387" s="287"/>
      <c r="CA387" s="287"/>
      <c r="CB387" s="287"/>
      <c r="CC387" s="287"/>
      <c r="CD387" s="287"/>
      <c r="CE387" s="287"/>
      <c r="CF387" s="287"/>
      <c r="CG387" s="287"/>
      <c r="CH387" s="287"/>
      <c r="CI387" s="287"/>
      <c r="CJ387" s="287"/>
      <c r="CK387" s="287"/>
      <c r="CL387" s="287"/>
      <c r="CM387" s="287"/>
      <c r="CN387" s="287"/>
      <c r="CO387" s="287"/>
      <c r="CP387" s="287"/>
      <c r="CQ387" s="287"/>
      <c r="CR387" s="287"/>
      <c r="CS387" s="287"/>
      <c r="CT387" s="287"/>
      <c r="CU387" s="287"/>
      <c r="CV387" s="287"/>
      <c r="CW387" s="287"/>
      <c r="CX387" s="287"/>
      <c r="CY387" s="287"/>
      <c r="CZ387" s="287"/>
      <c r="DA387" s="287"/>
      <c r="DB387" s="287"/>
      <c r="DC387" s="287"/>
      <c r="DD387" s="287"/>
      <c r="DE387" s="287"/>
      <c r="DF387" s="287"/>
      <c r="DG387" s="287"/>
      <c r="DH387" s="287"/>
      <c r="DI387" s="287"/>
      <c r="DJ387" s="287"/>
      <c r="DK387" s="287"/>
      <c r="DL387" s="287"/>
      <c r="DM387" s="287"/>
      <c r="DN387" s="287"/>
      <c r="DO387" s="287"/>
      <c r="DP387" s="287"/>
    </row>
    <row r="388" spans="1:120" s="427" customFormat="1" ht="12" customHeight="1" x14ac:dyDescent="0.25">
      <c r="A388" s="13"/>
      <c r="H388" s="547"/>
      <c r="I388" s="547"/>
      <c r="J388" s="547"/>
      <c r="K388" s="13"/>
      <c r="P388" s="548"/>
      <c r="BA388" s="287"/>
      <c r="BB388" s="287"/>
      <c r="BC388" s="287"/>
      <c r="BD388" s="287"/>
      <c r="BE388" s="287"/>
      <c r="BF388" s="287"/>
      <c r="BG388" s="287"/>
      <c r="BH388" s="287"/>
      <c r="BI388" s="287"/>
      <c r="BJ388" s="287"/>
      <c r="BK388" s="287"/>
      <c r="BL388" s="287"/>
      <c r="BM388" s="287"/>
      <c r="BN388" s="287"/>
      <c r="BO388" s="287"/>
      <c r="BP388" s="287"/>
      <c r="BQ388" s="287"/>
      <c r="BR388" s="287"/>
      <c r="BS388" s="287"/>
      <c r="BT388" s="287"/>
      <c r="BU388" s="287"/>
      <c r="BV388" s="287"/>
      <c r="BW388" s="287"/>
      <c r="BX388" s="287"/>
      <c r="BY388" s="287"/>
      <c r="BZ388" s="287"/>
      <c r="CA388" s="287"/>
      <c r="CB388" s="287"/>
      <c r="CC388" s="287"/>
      <c r="CD388" s="287"/>
      <c r="CE388" s="287"/>
      <c r="CF388" s="287"/>
      <c r="CG388" s="287"/>
      <c r="CH388" s="287"/>
      <c r="CI388" s="287"/>
      <c r="CJ388" s="287"/>
      <c r="CK388" s="287"/>
      <c r="CL388" s="287"/>
      <c r="CM388" s="287"/>
      <c r="CN388" s="287"/>
      <c r="CO388" s="287"/>
      <c r="CP388" s="287"/>
      <c r="CQ388" s="287"/>
      <c r="CR388" s="287"/>
      <c r="CS388" s="287"/>
      <c r="CT388" s="287"/>
      <c r="CU388" s="287"/>
      <c r="CV388" s="287"/>
      <c r="CW388" s="287"/>
      <c r="CX388" s="287"/>
      <c r="CY388" s="287"/>
      <c r="CZ388" s="287"/>
      <c r="DA388" s="287"/>
      <c r="DB388" s="287"/>
      <c r="DC388" s="287"/>
      <c r="DD388" s="287"/>
      <c r="DE388" s="287"/>
      <c r="DF388" s="287"/>
      <c r="DG388" s="287"/>
      <c r="DH388" s="287"/>
      <c r="DI388" s="287"/>
      <c r="DJ388" s="287"/>
      <c r="DK388" s="287"/>
      <c r="DL388" s="287"/>
      <c r="DM388" s="287"/>
      <c r="DN388" s="287"/>
      <c r="DO388" s="287"/>
      <c r="DP388" s="287"/>
    </row>
    <row r="389" spans="1:120" s="427" customFormat="1" ht="33" customHeight="1" x14ac:dyDescent="0.25">
      <c r="A389" s="13"/>
      <c r="B389" s="277">
        <v>10</v>
      </c>
      <c r="C389" s="567" t="s">
        <v>186</v>
      </c>
      <c r="D389" s="567"/>
      <c r="E389" s="567"/>
      <c r="F389" s="567"/>
      <c r="G389" s="565"/>
      <c r="O389" s="475" t="str">
        <f>IF(P389=1, "&lt;===", "")</f>
        <v/>
      </c>
      <c r="P389" s="364" t="str">
        <f>IF(AND(G389="",D432&lt;&gt;""),1,"")</f>
        <v/>
      </c>
      <c r="BA389" s="287"/>
      <c r="BB389" s="287"/>
      <c r="BC389" s="287"/>
      <c r="BD389" s="287"/>
      <c r="BE389" s="287"/>
      <c r="BF389" s="287"/>
      <c r="BG389" s="287"/>
      <c r="BH389" s="287"/>
      <c r="BI389" s="287"/>
      <c r="BJ389" s="287"/>
      <c r="BK389" s="287"/>
      <c r="BL389" s="287"/>
      <c r="BM389" s="287"/>
      <c r="BN389" s="287"/>
      <c r="BO389" s="287"/>
      <c r="BP389" s="287"/>
      <c r="BQ389" s="287"/>
      <c r="BR389" s="287"/>
      <c r="BS389" s="287"/>
      <c r="BT389" s="287"/>
      <c r="BU389" s="287"/>
      <c r="BV389" s="287"/>
      <c r="BW389" s="287"/>
      <c r="BX389" s="287"/>
      <c r="BY389" s="287"/>
      <c r="BZ389" s="287"/>
      <c r="CA389" s="287"/>
      <c r="CB389" s="287"/>
      <c r="CC389" s="287"/>
      <c r="CD389" s="287"/>
      <c r="CE389" s="287"/>
      <c r="CF389" s="287"/>
      <c r="CG389" s="287"/>
      <c r="CH389" s="287"/>
      <c r="CI389" s="287"/>
      <c r="CJ389" s="287"/>
      <c r="CK389" s="287"/>
      <c r="CL389" s="287"/>
      <c r="CM389" s="287"/>
      <c r="CN389" s="287"/>
      <c r="CO389" s="287"/>
      <c r="CP389" s="287"/>
      <c r="CQ389" s="287"/>
      <c r="CR389" s="287"/>
      <c r="CS389" s="287"/>
      <c r="CT389" s="287"/>
      <c r="CU389" s="287"/>
      <c r="CV389" s="287"/>
      <c r="CW389" s="287"/>
      <c r="CX389" s="287"/>
      <c r="CY389" s="287"/>
      <c r="CZ389" s="287"/>
      <c r="DA389" s="287"/>
      <c r="DB389" s="287"/>
      <c r="DC389" s="287"/>
      <c r="DD389" s="287"/>
      <c r="DE389" s="287"/>
      <c r="DF389" s="287"/>
      <c r="DG389" s="287"/>
      <c r="DH389" s="287"/>
      <c r="DI389" s="287"/>
      <c r="DJ389" s="287"/>
      <c r="DK389" s="287"/>
      <c r="DL389" s="287"/>
      <c r="DM389" s="287"/>
      <c r="DN389" s="287"/>
      <c r="DO389" s="287"/>
      <c r="DP389" s="287"/>
    </row>
    <row r="390" spans="1:120" s="427" customFormat="1" ht="16.5" customHeight="1" x14ac:dyDescent="0.25">
      <c r="A390" s="13"/>
      <c r="C390" s="573"/>
      <c r="D390" s="573"/>
      <c r="E390" s="573"/>
      <c r="F390" s="573"/>
      <c r="P390" s="548"/>
      <c r="BA390" s="287"/>
      <c r="BB390" s="287"/>
      <c r="BC390" s="287"/>
      <c r="BD390" s="287"/>
      <c r="BE390" s="287"/>
      <c r="BF390" s="287"/>
      <c r="BG390" s="287"/>
      <c r="BH390" s="287"/>
      <c r="BI390" s="287"/>
      <c r="BJ390" s="287"/>
      <c r="BK390" s="287"/>
      <c r="BL390" s="287"/>
      <c r="BM390" s="287"/>
      <c r="BN390" s="287"/>
      <c r="BO390" s="287"/>
      <c r="BP390" s="287"/>
      <c r="BQ390" s="287"/>
      <c r="BR390" s="287"/>
      <c r="BS390" s="287"/>
      <c r="BT390" s="287"/>
      <c r="BU390" s="287"/>
      <c r="BV390" s="287"/>
      <c r="BW390" s="287"/>
      <c r="BX390" s="287"/>
      <c r="BY390" s="287"/>
      <c r="BZ390" s="287"/>
      <c r="CA390" s="287"/>
      <c r="CB390" s="287"/>
      <c r="CC390" s="287"/>
      <c r="CD390" s="287"/>
      <c r="CE390" s="287"/>
      <c r="CF390" s="287"/>
      <c r="CG390" s="287"/>
      <c r="CH390" s="287"/>
      <c r="CI390" s="287"/>
      <c r="CJ390" s="287"/>
      <c r="CK390" s="287"/>
      <c r="CL390" s="287"/>
      <c r="CM390" s="287"/>
      <c r="CN390" s="287"/>
      <c r="CO390" s="287"/>
      <c r="CP390" s="287"/>
      <c r="CQ390" s="287"/>
      <c r="CR390" s="287"/>
      <c r="CS390" s="287"/>
      <c r="CT390" s="287"/>
      <c r="CU390" s="287"/>
      <c r="CV390" s="287"/>
      <c r="CW390" s="287"/>
      <c r="CX390" s="287"/>
      <c r="CY390" s="287"/>
      <c r="CZ390" s="287"/>
      <c r="DA390" s="287"/>
      <c r="DB390" s="287"/>
      <c r="DC390" s="287"/>
      <c r="DD390" s="287"/>
      <c r="DE390" s="287"/>
      <c r="DF390" s="287"/>
      <c r="DG390" s="287"/>
      <c r="DH390" s="287"/>
      <c r="DI390" s="287"/>
      <c r="DJ390" s="287"/>
      <c r="DK390" s="287"/>
      <c r="DL390" s="287"/>
      <c r="DM390" s="287"/>
      <c r="DN390" s="287"/>
      <c r="DO390" s="287"/>
      <c r="DP390" s="287"/>
    </row>
    <row r="391" spans="1:120" s="427" customFormat="1" ht="33" customHeight="1" x14ac:dyDescent="0.25">
      <c r="A391" s="13"/>
      <c r="B391" s="277">
        <v>11</v>
      </c>
      <c r="C391" s="567" t="s">
        <v>168</v>
      </c>
      <c r="D391" s="567"/>
      <c r="E391" s="567"/>
      <c r="F391" s="567"/>
      <c r="G391" s="566"/>
      <c r="H391" s="564" t="s">
        <v>188</v>
      </c>
      <c r="O391" s="475" t="str">
        <f>IF(P391=1, "&lt;===", "")</f>
        <v/>
      </c>
      <c r="P391" s="540" t="str">
        <f>IF(AND(G391="",D432&lt;&gt;""),1,"")</f>
        <v/>
      </c>
      <c r="BA391" s="287"/>
      <c r="BB391" s="287"/>
      <c r="BC391" s="287"/>
      <c r="BD391" s="287"/>
      <c r="BE391" s="287"/>
      <c r="BF391" s="287"/>
      <c r="BG391" s="287"/>
      <c r="BH391" s="287"/>
      <c r="BI391" s="287"/>
      <c r="BJ391" s="287"/>
      <c r="BK391" s="287"/>
      <c r="BL391" s="287"/>
      <c r="BM391" s="287"/>
      <c r="BN391" s="287"/>
      <c r="BO391" s="287"/>
      <c r="BP391" s="287"/>
      <c r="BQ391" s="287"/>
      <c r="BR391" s="287"/>
      <c r="BS391" s="287"/>
      <c r="BT391" s="287"/>
      <c r="BU391" s="287"/>
      <c r="BV391" s="287"/>
      <c r="BW391" s="287"/>
      <c r="BX391" s="287"/>
      <c r="BY391" s="287"/>
      <c r="BZ391" s="287"/>
      <c r="CA391" s="287"/>
      <c r="CB391" s="287"/>
      <c r="CC391" s="287"/>
      <c r="CD391" s="287"/>
      <c r="CE391" s="287"/>
      <c r="CF391" s="287"/>
      <c r="CG391" s="287"/>
      <c r="CH391" s="287"/>
      <c r="CI391" s="287"/>
      <c r="CJ391" s="287"/>
      <c r="CK391" s="287"/>
      <c r="CL391" s="287"/>
      <c r="CM391" s="287"/>
      <c r="CN391" s="287"/>
      <c r="CO391" s="287"/>
      <c r="CP391" s="287"/>
      <c r="CQ391" s="287"/>
      <c r="CR391" s="287"/>
      <c r="CS391" s="287"/>
      <c r="CT391" s="287"/>
      <c r="CU391" s="287"/>
      <c r="CV391" s="287"/>
      <c r="CW391" s="287"/>
      <c r="CX391" s="287"/>
      <c r="CY391" s="287"/>
      <c r="CZ391" s="287"/>
      <c r="DA391" s="287"/>
      <c r="DB391" s="287"/>
      <c r="DC391" s="287"/>
      <c r="DD391" s="287"/>
      <c r="DE391" s="287"/>
      <c r="DF391" s="287"/>
      <c r="DG391" s="287"/>
      <c r="DH391" s="287"/>
      <c r="DI391" s="287"/>
      <c r="DJ391" s="287"/>
      <c r="DK391" s="287"/>
      <c r="DL391" s="287"/>
      <c r="DM391" s="287"/>
      <c r="DN391" s="287"/>
      <c r="DO391" s="287"/>
      <c r="DP391" s="287"/>
    </row>
    <row r="392" spans="1:120" s="427" customFormat="1" ht="16.5" customHeight="1" x14ac:dyDescent="0.25">
      <c r="A392" s="13"/>
      <c r="H392" s="547"/>
      <c r="I392" s="547"/>
      <c r="J392" s="547"/>
      <c r="K392" s="13"/>
      <c r="P392" s="548"/>
      <c r="BA392" s="287"/>
      <c r="BB392" s="287"/>
      <c r="BC392" s="287"/>
      <c r="BD392" s="287"/>
      <c r="BE392" s="287"/>
      <c r="BF392" s="287"/>
      <c r="BG392" s="287"/>
      <c r="BH392" s="287"/>
      <c r="BI392" s="287"/>
      <c r="BJ392" s="287"/>
      <c r="BK392" s="287"/>
      <c r="BL392" s="287"/>
      <c r="BM392" s="287"/>
      <c r="BN392" s="287"/>
      <c r="BO392" s="287"/>
      <c r="BP392" s="287"/>
      <c r="BQ392" s="287"/>
      <c r="BR392" s="287"/>
      <c r="BS392" s="287"/>
      <c r="BT392" s="287"/>
      <c r="BU392" s="287"/>
      <c r="BV392" s="287"/>
      <c r="BW392" s="287"/>
      <c r="BX392" s="287"/>
      <c r="BY392" s="287"/>
      <c r="BZ392" s="287"/>
      <c r="CA392" s="287"/>
      <c r="CB392" s="287"/>
      <c r="CC392" s="287"/>
      <c r="CD392" s="287"/>
      <c r="CE392" s="287"/>
      <c r="CF392" s="287"/>
      <c r="CG392" s="287"/>
      <c r="CH392" s="287"/>
      <c r="CI392" s="287"/>
      <c r="CJ392" s="287"/>
      <c r="CK392" s="287"/>
      <c r="CL392" s="287"/>
      <c r="CM392" s="287"/>
      <c r="CN392" s="287"/>
      <c r="CO392" s="287"/>
      <c r="CP392" s="287"/>
      <c r="CQ392" s="287"/>
      <c r="CR392" s="287"/>
      <c r="CS392" s="287"/>
      <c r="CT392" s="287"/>
      <c r="CU392" s="287"/>
      <c r="CV392" s="287"/>
      <c r="CW392" s="287"/>
      <c r="CX392" s="287"/>
      <c r="CY392" s="287"/>
      <c r="CZ392" s="287"/>
      <c r="DA392" s="287"/>
      <c r="DB392" s="287"/>
      <c r="DC392" s="287"/>
      <c r="DD392" s="287"/>
      <c r="DE392" s="287"/>
      <c r="DF392" s="287"/>
      <c r="DG392" s="287"/>
      <c r="DH392" s="287"/>
      <c r="DI392" s="287"/>
      <c r="DJ392" s="287"/>
      <c r="DK392" s="287"/>
      <c r="DL392" s="287"/>
      <c r="DM392" s="287"/>
      <c r="DN392" s="287"/>
      <c r="DO392" s="287"/>
      <c r="DP392" s="287"/>
    </row>
    <row r="393" spans="1:120" s="427" customFormat="1" ht="33" customHeight="1" x14ac:dyDescent="0.25">
      <c r="A393" s="13"/>
      <c r="B393" s="277">
        <v>12</v>
      </c>
      <c r="C393" s="567" t="s">
        <v>169</v>
      </c>
      <c r="D393" s="567"/>
      <c r="E393" s="567"/>
      <c r="F393" s="567"/>
      <c r="G393" s="111" t="s">
        <v>23</v>
      </c>
      <c r="O393" s="475" t="str">
        <f>IF(P393=1, "&lt;===", "")</f>
        <v/>
      </c>
      <c r="P393" s="364" t="str">
        <f>IF(AND(G393="Please Select",D432&lt;&gt;""),1,"")</f>
        <v/>
      </c>
      <c r="BA393" s="287"/>
      <c r="BB393" s="287"/>
      <c r="BC393" s="287"/>
      <c r="BD393" s="287"/>
      <c r="BE393" s="287"/>
      <c r="BF393" s="287"/>
      <c r="BG393" s="287"/>
      <c r="BH393" s="287"/>
      <c r="BI393" s="287"/>
      <c r="BJ393" s="287"/>
      <c r="BK393" s="287"/>
      <c r="BL393" s="287"/>
      <c r="BM393" s="287"/>
      <c r="BN393" s="287"/>
      <c r="BO393" s="287"/>
      <c r="BP393" s="287"/>
      <c r="BQ393" s="287"/>
      <c r="BR393" s="287"/>
      <c r="BS393" s="287"/>
      <c r="BT393" s="287"/>
      <c r="BU393" s="287"/>
      <c r="BV393" s="287"/>
      <c r="BW393" s="287"/>
      <c r="BX393" s="287"/>
      <c r="BY393" s="287"/>
      <c r="BZ393" s="287"/>
      <c r="CA393" s="287"/>
      <c r="CB393" s="287"/>
      <c r="CC393" s="287"/>
      <c r="CD393" s="287"/>
      <c r="CE393" s="287"/>
      <c r="CF393" s="287"/>
      <c r="CG393" s="287"/>
      <c r="CH393" s="287"/>
      <c r="CI393" s="287"/>
      <c r="CJ393" s="287"/>
      <c r="CK393" s="287"/>
      <c r="CL393" s="287"/>
      <c r="CM393" s="287"/>
      <c r="CN393" s="287"/>
      <c r="CO393" s="287"/>
      <c r="CP393" s="287"/>
      <c r="CQ393" s="287"/>
      <c r="CR393" s="287"/>
      <c r="CS393" s="287"/>
      <c r="CT393" s="287"/>
      <c r="CU393" s="287"/>
      <c r="CV393" s="287"/>
      <c r="CW393" s="287"/>
      <c r="CX393" s="287"/>
      <c r="CY393" s="287"/>
      <c r="CZ393" s="287"/>
      <c r="DA393" s="287"/>
      <c r="DB393" s="287"/>
      <c r="DC393" s="287"/>
      <c r="DD393" s="287"/>
      <c r="DE393" s="287"/>
      <c r="DF393" s="287"/>
      <c r="DG393" s="287"/>
      <c r="DH393" s="287"/>
      <c r="DI393" s="287"/>
      <c r="DJ393" s="287"/>
      <c r="DK393" s="287"/>
      <c r="DL393" s="287"/>
      <c r="DM393" s="287"/>
      <c r="DN393" s="287"/>
      <c r="DO393" s="287"/>
      <c r="DP393" s="287"/>
    </row>
    <row r="394" spans="1:120" s="427" customFormat="1" ht="16.5" customHeight="1" x14ac:dyDescent="0.25">
      <c r="A394" s="13"/>
      <c r="H394" s="547"/>
      <c r="I394" s="547"/>
      <c r="J394" s="547"/>
      <c r="K394" s="13"/>
      <c r="P394" s="548"/>
      <c r="BA394" s="287"/>
      <c r="BB394" s="287"/>
      <c r="BC394" s="287"/>
      <c r="BD394" s="287"/>
      <c r="BE394" s="287"/>
      <c r="BF394" s="287"/>
      <c r="BG394" s="287"/>
      <c r="BH394" s="287"/>
      <c r="BI394" s="287"/>
      <c r="BJ394" s="287"/>
      <c r="BK394" s="287"/>
      <c r="BL394" s="287"/>
      <c r="BM394" s="287"/>
      <c r="BN394" s="287"/>
      <c r="BO394" s="287"/>
      <c r="BP394" s="287"/>
      <c r="BQ394" s="287"/>
      <c r="BR394" s="287"/>
      <c r="BS394" s="287"/>
      <c r="BT394" s="287"/>
      <c r="BU394" s="287"/>
      <c r="BV394" s="287"/>
      <c r="BW394" s="287"/>
      <c r="BX394" s="287"/>
      <c r="BY394" s="287"/>
      <c r="BZ394" s="287"/>
      <c r="CA394" s="287"/>
      <c r="CB394" s="287"/>
      <c r="CC394" s="287"/>
      <c r="CD394" s="287"/>
      <c r="CE394" s="287"/>
      <c r="CF394" s="287"/>
      <c r="CG394" s="287"/>
      <c r="CH394" s="287"/>
      <c r="CI394" s="287"/>
      <c r="CJ394" s="287"/>
      <c r="CK394" s="287"/>
      <c r="CL394" s="287"/>
      <c r="CM394" s="287"/>
      <c r="CN394" s="287"/>
      <c r="CO394" s="287"/>
      <c r="CP394" s="287"/>
      <c r="CQ394" s="287"/>
      <c r="CR394" s="287"/>
      <c r="CS394" s="287"/>
      <c r="CT394" s="287"/>
      <c r="CU394" s="287"/>
      <c r="CV394" s="287"/>
      <c r="CW394" s="287"/>
      <c r="CX394" s="287"/>
      <c r="CY394" s="287"/>
      <c r="CZ394" s="287"/>
      <c r="DA394" s="287"/>
      <c r="DB394" s="287"/>
      <c r="DC394" s="287"/>
      <c r="DD394" s="287"/>
      <c r="DE394" s="287"/>
      <c r="DF394" s="287"/>
      <c r="DG394" s="287"/>
      <c r="DH394" s="287"/>
      <c r="DI394" s="287"/>
      <c r="DJ394" s="287"/>
      <c r="DK394" s="287"/>
      <c r="DL394" s="287"/>
      <c r="DM394" s="287"/>
      <c r="DN394" s="287"/>
      <c r="DO394" s="287"/>
      <c r="DP394" s="287"/>
    </row>
    <row r="395" spans="1:120" s="427" customFormat="1" ht="33" customHeight="1" x14ac:dyDescent="0.25">
      <c r="A395" s="13"/>
      <c r="B395" s="277">
        <v>13</v>
      </c>
      <c r="C395" s="567" t="s">
        <v>170</v>
      </c>
      <c r="D395" s="567"/>
      <c r="E395" s="567"/>
      <c r="F395" s="567"/>
      <c r="G395" s="111" t="s">
        <v>23</v>
      </c>
      <c r="O395" s="475" t="str">
        <f>IF(P395=1, "&lt;===", "")</f>
        <v/>
      </c>
      <c r="P395" s="364" t="str">
        <f>IF(AND(G395="Please Select",D432&lt;&gt;""),1,"")</f>
        <v/>
      </c>
      <c r="BA395" s="287"/>
      <c r="BB395" s="287"/>
      <c r="BC395" s="287"/>
      <c r="BD395" s="287"/>
      <c r="BE395" s="287"/>
      <c r="BF395" s="287"/>
      <c r="BG395" s="287"/>
      <c r="BH395" s="287"/>
      <c r="BI395" s="287"/>
      <c r="BJ395" s="287"/>
      <c r="BK395" s="287"/>
      <c r="BL395" s="287"/>
      <c r="BM395" s="287"/>
      <c r="BN395" s="287"/>
      <c r="BO395" s="287"/>
      <c r="BP395" s="287"/>
      <c r="BQ395" s="287"/>
      <c r="BR395" s="287"/>
      <c r="BS395" s="287"/>
      <c r="BT395" s="287"/>
      <c r="BU395" s="287"/>
      <c r="BV395" s="287"/>
      <c r="BW395" s="287"/>
      <c r="BX395" s="287"/>
      <c r="BY395" s="287"/>
      <c r="BZ395" s="287"/>
      <c r="CA395" s="287"/>
      <c r="CB395" s="287"/>
      <c r="CC395" s="287"/>
      <c r="CD395" s="287"/>
      <c r="CE395" s="287"/>
      <c r="CF395" s="287"/>
      <c r="CG395" s="287"/>
      <c r="CH395" s="287"/>
      <c r="CI395" s="287"/>
      <c r="CJ395" s="287"/>
      <c r="CK395" s="287"/>
      <c r="CL395" s="287"/>
      <c r="CM395" s="287"/>
      <c r="CN395" s="287"/>
      <c r="CO395" s="287"/>
      <c r="CP395" s="287"/>
      <c r="CQ395" s="287"/>
      <c r="CR395" s="287"/>
      <c r="CS395" s="287"/>
      <c r="CT395" s="287"/>
      <c r="CU395" s="287"/>
      <c r="CV395" s="287"/>
      <c r="CW395" s="287"/>
      <c r="CX395" s="287"/>
      <c r="CY395" s="287"/>
      <c r="CZ395" s="287"/>
      <c r="DA395" s="287"/>
      <c r="DB395" s="287"/>
      <c r="DC395" s="287"/>
      <c r="DD395" s="287"/>
      <c r="DE395" s="287"/>
      <c r="DF395" s="287"/>
      <c r="DG395" s="287"/>
      <c r="DH395" s="287"/>
      <c r="DI395" s="287"/>
      <c r="DJ395" s="287"/>
      <c r="DK395" s="287"/>
      <c r="DL395" s="287"/>
      <c r="DM395" s="287"/>
      <c r="DN395" s="287"/>
      <c r="DO395" s="287"/>
      <c r="DP395" s="287"/>
    </row>
    <row r="396" spans="1:120" s="427" customFormat="1" ht="16.5" customHeight="1" x14ac:dyDescent="0.25">
      <c r="A396" s="13"/>
      <c r="H396" s="547"/>
      <c r="I396" s="547"/>
      <c r="J396" s="547"/>
      <c r="K396" s="13"/>
      <c r="P396" s="548"/>
      <c r="BA396" s="287"/>
      <c r="BB396" s="287"/>
      <c r="BC396" s="287"/>
      <c r="BD396" s="287"/>
      <c r="BE396" s="287"/>
      <c r="BF396" s="287"/>
      <c r="BG396" s="287"/>
      <c r="BH396" s="287"/>
      <c r="BI396" s="287"/>
      <c r="BJ396" s="287"/>
      <c r="BK396" s="287"/>
      <c r="BL396" s="287"/>
      <c r="BM396" s="287"/>
      <c r="BN396" s="287"/>
      <c r="BO396" s="287"/>
      <c r="BP396" s="287"/>
      <c r="BQ396" s="287"/>
      <c r="BR396" s="287"/>
      <c r="BS396" s="287"/>
      <c r="BT396" s="287"/>
      <c r="BU396" s="287"/>
      <c r="BV396" s="287"/>
      <c r="BW396" s="287"/>
      <c r="BX396" s="287"/>
      <c r="BY396" s="287"/>
      <c r="BZ396" s="287"/>
      <c r="CA396" s="287"/>
      <c r="CB396" s="287"/>
      <c r="CC396" s="287"/>
      <c r="CD396" s="287"/>
      <c r="CE396" s="287"/>
      <c r="CF396" s="287"/>
      <c r="CG396" s="287"/>
      <c r="CH396" s="287"/>
      <c r="CI396" s="287"/>
      <c r="CJ396" s="287"/>
      <c r="CK396" s="287"/>
      <c r="CL396" s="287"/>
      <c r="CM396" s="287"/>
      <c r="CN396" s="287"/>
      <c r="CO396" s="287"/>
      <c r="CP396" s="287"/>
      <c r="CQ396" s="287"/>
      <c r="CR396" s="287"/>
      <c r="CS396" s="287"/>
      <c r="CT396" s="287"/>
      <c r="CU396" s="287"/>
      <c r="CV396" s="287"/>
      <c r="CW396" s="287"/>
      <c r="CX396" s="287"/>
      <c r="CY396" s="287"/>
      <c r="CZ396" s="287"/>
      <c r="DA396" s="287"/>
      <c r="DB396" s="287"/>
      <c r="DC396" s="287"/>
      <c r="DD396" s="287"/>
      <c r="DE396" s="287"/>
      <c r="DF396" s="287"/>
      <c r="DG396" s="287"/>
      <c r="DH396" s="287"/>
      <c r="DI396" s="287"/>
      <c r="DJ396" s="287"/>
      <c r="DK396" s="287"/>
      <c r="DL396" s="287"/>
      <c r="DM396" s="287"/>
      <c r="DN396" s="287"/>
      <c r="DO396" s="287"/>
      <c r="DP396" s="287"/>
    </row>
    <row r="397" spans="1:120" s="427" customFormat="1" ht="16.5" customHeight="1" x14ac:dyDescent="0.25">
      <c r="A397" s="13"/>
      <c r="C397" s="573"/>
      <c r="D397" s="573"/>
      <c r="E397" s="573"/>
      <c r="F397" s="573"/>
      <c r="P397" s="548"/>
      <c r="BA397" s="287"/>
      <c r="BB397" s="287"/>
      <c r="BC397" s="287"/>
      <c r="BD397" s="287"/>
      <c r="BE397" s="287"/>
      <c r="BF397" s="287"/>
      <c r="BG397" s="287"/>
      <c r="BH397" s="287"/>
      <c r="BI397" s="287"/>
      <c r="BJ397" s="287"/>
      <c r="BK397" s="287"/>
      <c r="BL397" s="287"/>
      <c r="BM397" s="287"/>
      <c r="BN397" s="287"/>
      <c r="BO397" s="287"/>
      <c r="BP397" s="287"/>
      <c r="BQ397" s="287"/>
      <c r="BR397" s="287"/>
      <c r="BS397" s="287"/>
      <c r="BT397" s="287"/>
      <c r="BU397" s="287"/>
      <c r="BV397" s="287"/>
      <c r="BW397" s="287"/>
      <c r="BX397" s="287"/>
      <c r="BY397" s="287"/>
      <c r="BZ397" s="287"/>
      <c r="CA397" s="287"/>
      <c r="CB397" s="287"/>
      <c r="CC397" s="287"/>
      <c r="CD397" s="287"/>
      <c r="CE397" s="287"/>
      <c r="CF397" s="287"/>
      <c r="CG397" s="287"/>
      <c r="CH397" s="287"/>
      <c r="CI397" s="287"/>
      <c r="CJ397" s="287"/>
      <c r="CK397" s="287"/>
      <c r="CL397" s="287"/>
      <c r="CM397" s="287"/>
      <c r="CN397" s="287"/>
      <c r="CO397" s="287"/>
      <c r="CP397" s="287"/>
      <c r="CQ397" s="287"/>
      <c r="CR397" s="287"/>
      <c r="CS397" s="287"/>
      <c r="CT397" s="287"/>
      <c r="CU397" s="287"/>
      <c r="CV397" s="287"/>
      <c r="CW397" s="287"/>
      <c r="CX397" s="287"/>
      <c r="CY397" s="287"/>
      <c r="CZ397" s="287"/>
      <c r="DA397" s="287"/>
      <c r="DB397" s="287"/>
      <c r="DC397" s="287"/>
      <c r="DD397" s="287"/>
      <c r="DE397" s="287"/>
      <c r="DF397" s="287"/>
      <c r="DG397" s="287"/>
      <c r="DH397" s="287"/>
      <c r="DI397" s="287"/>
      <c r="DJ397" s="287"/>
      <c r="DK397" s="287"/>
      <c r="DL397" s="287"/>
      <c r="DM397" s="287"/>
      <c r="DN397" s="287"/>
      <c r="DO397" s="287"/>
      <c r="DP397" s="287"/>
    </row>
    <row r="398" spans="1:120" s="287" customFormat="1" ht="33" customHeight="1" x14ac:dyDescent="0.25">
      <c r="A398" s="521"/>
      <c r="B398" s="556"/>
      <c r="C398" s="568" t="s">
        <v>171</v>
      </c>
      <c r="D398" s="568"/>
      <c r="E398" s="568"/>
      <c r="F398" s="568"/>
      <c r="G398" s="568"/>
      <c r="P398" s="521"/>
    </row>
    <row r="399" spans="1:120" s="427" customFormat="1" ht="8.25" customHeight="1" x14ac:dyDescent="0.25">
      <c r="A399" s="13"/>
      <c r="H399" s="547"/>
      <c r="I399" s="547"/>
      <c r="J399" s="547"/>
      <c r="K399" s="13"/>
      <c r="P399" s="548"/>
      <c r="BA399" s="287"/>
      <c r="BB399" s="287"/>
      <c r="BC399" s="287"/>
      <c r="BD399" s="287"/>
      <c r="BE399" s="287"/>
      <c r="BF399" s="287"/>
      <c r="BG399" s="287"/>
      <c r="BH399" s="287"/>
      <c r="BI399" s="287"/>
      <c r="BJ399" s="287"/>
      <c r="BK399" s="287"/>
      <c r="BL399" s="287"/>
      <c r="BM399" s="287"/>
      <c r="BN399" s="287"/>
      <c r="BO399" s="287"/>
      <c r="BP399" s="287"/>
      <c r="BQ399" s="287"/>
      <c r="BR399" s="287"/>
      <c r="BS399" s="287"/>
      <c r="BT399" s="287"/>
      <c r="BU399" s="287"/>
      <c r="BV399" s="287"/>
      <c r="BW399" s="287"/>
      <c r="BX399" s="287"/>
      <c r="BY399" s="287"/>
      <c r="BZ399" s="287"/>
      <c r="CA399" s="287"/>
      <c r="CB399" s="287"/>
      <c r="CC399" s="287"/>
      <c r="CD399" s="287"/>
      <c r="CE399" s="287"/>
      <c r="CF399" s="287"/>
      <c r="CG399" s="287"/>
      <c r="CH399" s="287"/>
      <c r="CI399" s="287"/>
      <c r="CJ399" s="287"/>
      <c r="CK399" s="287"/>
      <c r="CL399" s="287"/>
      <c r="CM399" s="287"/>
      <c r="CN399" s="287"/>
      <c r="CO399" s="287"/>
      <c r="CP399" s="287"/>
      <c r="CQ399" s="287"/>
      <c r="CR399" s="287"/>
      <c r="CS399" s="287"/>
      <c r="CT399" s="287"/>
      <c r="CU399" s="287"/>
      <c r="CV399" s="287"/>
      <c r="CW399" s="287"/>
      <c r="CX399" s="287"/>
      <c r="CY399" s="287"/>
      <c r="CZ399" s="287"/>
      <c r="DA399" s="287"/>
      <c r="DB399" s="287"/>
      <c r="DC399" s="287"/>
      <c r="DD399" s="287"/>
      <c r="DE399" s="287"/>
      <c r="DF399" s="287"/>
      <c r="DG399" s="287"/>
      <c r="DH399" s="287"/>
      <c r="DI399" s="287"/>
      <c r="DJ399" s="287"/>
      <c r="DK399" s="287"/>
      <c r="DL399" s="287"/>
      <c r="DM399" s="287"/>
      <c r="DN399" s="287"/>
      <c r="DO399" s="287"/>
      <c r="DP399" s="287"/>
    </row>
    <row r="400" spans="1:120" s="427" customFormat="1" ht="33" customHeight="1" x14ac:dyDescent="0.25">
      <c r="A400" s="13"/>
      <c r="B400" s="277">
        <v>14</v>
      </c>
      <c r="C400" s="567" t="s">
        <v>187</v>
      </c>
      <c r="D400" s="567"/>
      <c r="E400" s="567"/>
      <c r="F400" s="567"/>
      <c r="G400" s="565"/>
      <c r="O400" s="475" t="str">
        <f>IF(P400=1, "&lt;===", "")</f>
        <v/>
      </c>
      <c r="P400" s="364" t="str">
        <f>IF(AND(G400="",D432&lt;&gt;""),1,"")</f>
        <v/>
      </c>
      <c r="BA400" s="287"/>
      <c r="BB400" s="287"/>
      <c r="BC400" s="287"/>
      <c r="BD400" s="287"/>
      <c r="BE400" s="287"/>
      <c r="BF400" s="287"/>
      <c r="BG400" s="287"/>
      <c r="BH400" s="287"/>
      <c r="BI400" s="287"/>
      <c r="BJ400" s="287"/>
      <c r="BK400" s="287"/>
      <c r="BL400" s="287"/>
      <c r="BM400" s="287"/>
      <c r="BN400" s="287"/>
      <c r="BO400" s="287"/>
      <c r="BP400" s="287"/>
      <c r="BQ400" s="287"/>
      <c r="BR400" s="287"/>
      <c r="BS400" s="287"/>
      <c r="BT400" s="287"/>
      <c r="BU400" s="287"/>
      <c r="BV400" s="287"/>
      <c r="BW400" s="287"/>
      <c r="BX400" s="287"/>
      <c r="BY400" s="287"/>
      <c r="BZ400" s="287"/>
      <c r="CA400" s="287"/>
      <c r="CB400" s="287"/>
      <c r="CC400" s="287"/>
      <c r="CD400" s="287"/>
      <c r="CE400" s="287"/>
      <c r="CF400" s="287"/>
      <c r="CG400" s="287"/>
      <c r="CH400" s="287"/>
      <c r="CI400" s="287"/>
      <c r="CJ400" s="287"/>
      <c r="CK400" s="287"/>
      <c r="CL400" s="287"/>
      <c r="CM400" s="287"/>
      <c r="CN400" s="287"/>
      <c r="CO400" s="287"/>
      <c r="CP400" s="287"/>
      <c r="CQ400" s="287"/>
      <c r="CR400" s="287"/>
      <c r="CS400" s="287"/>
      <c r="CT400" s="287"/>
      <c r="CU400" s="287"/>
      <c r="CV400" s="287"/>
      <c r="CW400" s="287"/>
      <c r="CX400" s="287"/>
      <c r="CY400" s="287"/>
      <c r="CZ400" s="287"/>
      <c r="DA400" s="287"/>
      <c r="DB400" s="287"/>
      <c r="DC400" s="287"/>
      <c r="DD400" s="287"/>
      <c r="DE400" s="287"/>
      <c r="DF400" s="287"/>
      <c r="DG400" s="287"/>
      <c r="DH400" s="287"/>
      <c r="DI400" s="287"/>
      <c r="DJ400" s="287"/>
      <c r="DK400" s="287"/>
      <c r="DL400" s="287"/>
      <c r="DM400" s="287"/>
      <c r="DN400" s="287"/>
      <c r="DO400" s="287"/>
      <c r="DP400" s="287"/>
    </row>
    <row r="401" spans="1:120" s="427" customFormat="1" ht="16.5" customHeight="1" x14ac:dyDescent="0.25">
      <c r="A401" s="13"/>
      <c r="C401" s="573"/>
      <c r="D401" s="573"/>
      <c r="E401" s="573"/>
      <c r="F401" s="573"/>
      <c r="P401" s="548"/>
      <c r="BA401" s="287"/>
      <c r="BB401" s="287"/>
      <c r="BC401" s="287"/>
      <c r="BD401" s="287"/>
      <c r="BE401" s="287"/>
      <c r="BF401" s="287"/>
      <c r="BG401" s="287"/>
      <c r="BH401" s="287"/>
      <c r="BI401" s="287"/>
      <c r="BJ401" s="287"/>
      <c r="BK401" s="287"/>
      <c r="BL401" s="287"/>
      <c r="BM401" s="287"/>
      <c r="BN401" s="287"/>
      <c r="BO401" s="287"/>
      <c r="BP401" s="287"/>
      <c r="BQ401" s="287"/>
      <c r="BR401" s="287"/>
      <c r="BS401" s="287"/>
      <c r="BT401" s="287"/>
      <c r="BU401" s="287"/>
      <c r="BV401" s="287"/>
      <c r="BW401" s="287"/>
      <c r="BX401" s="287"/>
      <c r="BY401" s="287"/>
      <c r="BZ401" s="287"/>
      <c r="CA401" s="287"/>
      <c r="CB401" s="287"/>
      <c r="CC401" s="287"/>
      <c r="CD401" s="287"/>
      <c r="CE401" s="287"/>
      <c r="CF401" s="287"/>
      <c r="CG401" s="287"/>
      <c r="CH401" s="287"/>
      <c r="CI401" s="287"/>
      <c r="CJ401" s="287"/>
      <c r="CK401" s="287"/>
      <c r="CL401" s="287"/>
      <c r="CM401" s="287"/>
      <c r="CN401" s="287"/>
      <c r="CO401" s="287"/>
      <c r="CP401" s="287"/>
      <c r="CQ401" s="287"/>
      <c r="CR401" s="287"/>
      <c r="CS401" s="287"/>
      <c r="CT401" s="287"/>
      <c r="CU401" s="287"/>
      <c r="CV401" s="287"/>
      <c r="CW401" s="287"/>
      <c r="CX401" s="287"/>
      <c r="CY401" s="287"/>
      <c r="CZ401" s="287"/>
      <c r="DA401" s="287"/>
      <c r="DB401" s="287"/>
      <c r="DC401" s="287"/>
      <c r="DD401" s="287"/>
      <c r="DE401" s="287"/>
      <c r="DF401" s="287"/>
      <c r="DG401" s="287"/>
      <c r="DH401" s="287"/>
      <c r="DI401" s="287"/>
      <c r="DJ401" s="287"/>
      <c r="DK401" s="287"/>
      <c r="DL401" s="287"/>
      <c r="DM401" s="287"/>
      <c r="DN401" s="287"/>
      <c r="DO401" s="287"/>
      <c r="DP401" s="287"/>
    </row>
    <row r="402" spans="1:120" s="427" customFormat="1" ht="33" customHeight="1" x14ac:dyDescent="0.25">
      <c r="A402" s="13"/>
      <c r="B402" s="277">
        <v>15</v>
      </c>
      <c r="C402" s="567" t="s">
        <v>172</v>
      </c>
      <c r="D402" s="567"/>
      <c r="E402" s="567"/>
      <c r="F402" s="567"/>
      <c r="G402" s="559" t="s">
        <v>23</v>
      </c>
      <c r="O402" s="475" t="str">
        <f>IF(P402=1, "&lt;===", "")</f>
        <v/>
      </c>
      <c r="P402" s="364" t="str">
        <f>IF(AND(G402="Please Select",D432&lt;&gt;""),1,"")</f>
        <v/>
      </c>
      <c r="BA402" s="287"/>
      <c r="BB402" s="287"/>
      <c r="BC402" s="287"/>
      <c r="BD402" s="287"/>
      <c r="BE402" s="287"/>
      <c r="BF402" s="287"/>
      <c r="BG402" s="287"/>
      <c r="BH402" s="287"/>
      <c r="BI402" s="287"/>
      <c r="BJ402" s="287"/>
      <c r="BK402" s="287"/>
      <c r="BL402" s="287"/>
      <c r="BM402" s="287"/>
      <c r="BN402" s="287"/>
      <c r="BO402" s="287"/>
      <c r="BP402" s="287"/>
      <c r="BQ402" s="287"/>
      <c r="BR402" s="287"/>
      <c r="BS402" s="287"/>
      <c r="BT402" s="287"/>
      <c r="BU402" s="287"/>
      <c r="BV402" s="287"/>
      <c r="BW402" s="287"/>
      <c r="BX402" s="287"/>
      <c r="BY402" s="287"/>
      <c r="BZ402" s="287"/>
      <c r="CA402" s="287"/>
      <c r="CB402" s="287"/>
      <c r="CC402" s="287"/>
      <c r="CD402" s="287"/>
      <c r="CE402" s="287"/>
      <c r="CF402" s="287"/>
      <c r="CG402" s="287"/>
      <c r="CH402" s="287"/>
      <c r="CI402" s="287"/>
      <c r="CJ402" s="287"/>
      <c r="CK402" s="287"/>
      <c r="CL402" s="287"/>
      <c r="CM402" s="287"/>
      <c r="CN402" s="287"/>
      <c r="CO402" s="287"/>
      <c r="CP402" s="287"/>
      <c r="CQ402" s="287"/>
      <c r="CR402" s="287"/>
      <c r="CS402" s="287"/>
      <c r="CT402" s="287"/>
      <c r="CU402" s="287"/>
      <c r="CV402" s="287"/>
      <c r="CW402" s="287"/>
      <c r="CX402" s="287"/>
      <c r="CY402" s="287"/>
      <c r="CZ402" s="287"/>
      <c r="DA402" s="287"/>
      <c r="DB402" s="287"/>
      <c r="DC402" s="287"/>
      <c r="DD402" s="287"/>
      <c r="DE402" s="287"/>
      <c r="DF402" s="287"/>
      <c r="DG402" s="287"/>
      <c r="DH402" s="287"/>
      <c r="DI402" s="287"/>
      <c r="DJ402" s="287"/>
      <c r="DK402" s="287"/>
      <c r="DL402" s="287"/>
      <c r="DM402" s="287"/>
      <c r="DN402" s="287"/>
      <c r="DO402" s="287"/>
      <c r="DP402" s="287"/>
    </row>
    <row r="403" spans="1:120" s="427" customFormat="1" ht="16.5" customHeight="1" x14ac:dyDescent="0.25">
      <c r="A403" s="13"/>
      <c r="C403" s="573"/>
      <c r="D403" s="573"/>
      <c r="E403" s="573"/>
      <c r="F403" s="573"/>
      <c r="P403" s="548"/>
      <c r="BA403" s="287"/>
      <c r="BB403" s="287"/>
      <c r="BC403" s="287"/>
      <c r="BD403" s="287"/>
      <c r="BE403" s="287"/>
      <c r="BF403" s="287"/>
      <c r="BG403" s="287"/>
      <c r="BH403" s="287"/>
      <c r="BI403" s="287"/>
      <c r="BJ403" s="287"/>
      <c r="BK403" s="287"/>
      <c r="BL403" s="287"/>
      <c r="BM403" s="287"/>
      <c r="BN403" s="287"/>
      <c r="BO403" s="287"/>
      <c r="BP403" s="287"/>
      <c r="BQ403" s="287"/>
      <c r="BR403" s="287"/>
      <c r="BS403" s="287"/>
      <c r="BT403" s="287"/>
      <c r="BU403" s="287"/>
      <c r="BV403" s="287"/>
      <c r="BW403" s="287"/>
      <c r="BX403" s="287"/>
      <c r="BY403" s="287"/>
      <c r="BZ403" s="287"/>
      <c r="CA403" s="287"/>
      <c r="CB403" s="287"/>
      <c r="CC403" s="287"/>
      <c r="CD403" s="287"/>
      <c r="CE403" s="287"/>
      <c r="CF403" s="287"/>
      <c r="CG403" s="287"/>
      <c r="CH403" s="287"/>
      <c r="CI403" s="287"/>
      <c r="CJ403" s="287"/>
      <c r="CK403" s="287"/>
      <c r="CL403" s="287"/>
      <c r="CM403" s="287"/>
      <c r="CN403" s="287"/>
      <c r="CO403" s="287"/>
      <c r="CP403" s="287"/>
      <c r="CQ403" s="287"/>
      <c r="CR403" s="287"/>
      <c r="CS403" s="287"/>
      <c r="CT403" s="287"/>
      <c r="CU403" s="287"/>
      <c r="CV403" s="287"/>
      <c r="CW403" s="287"/>
      <c r="CX403" s="287"/>
      <c r="CY403" s="287"/>
      <c r="CZ403" s="287"/>
      <c r="DA403" s="287"/>
      <c r="DB403" s="287"/>
      <c r="DC403" s="287"/>
      <c r="DD403" s="287"/>
      <c r="DE403" s="287"/>
      <c r="DF403" s="287"/>
      <c r="DG403" s="287"/>
      <c r="DH403" s="287"/>
      <c r="DI403" s="287"/>
      <c r="DJ403" s="287"/>
      <c r="DK403" s="287"/>
      <c r="DL403" s="287"/>
      <c r="DM403" s="287"/>
      <c r="DN403" s="287"/>
      <c r="DO403" s="287"/>
      <c r="DP403" s="287"/>
    </row>
    <row r="404" spans="1:120" s="427" customFormat="1" ht="33" customHeight="1" x14ac:dyDescent="0.25">
      <c r="A404" s="13"/>
      <c r="B404" s="277">
        <v>16</v>
      </c>
      <c r="C404" s="567" t="s">
        <v>173</v>
      </c>
      <c r="D404" s="567"/>
      <c r="E404" s="567"/>
      <c r="F404" s="567"/>
      <c r="G404" s="566"/>
      <c r="H404" s="564" t="s">
        <v>188</v>
      </c>
      <c r="O404" s="475" t="str">
        <f>IF(P404=1, "&lt;===", "")</f>
        <v/>
      </c>
      <c r="P404" s="540" t="str">
        <f>IF(AND(G404="",D432&lt;&gt;""),1,"")</f>
        <v/>
      </c>
      <c r="BA404" s="287"/>
      <c r="BB404" s="287"/>
      <c r="BC404" s="287"/>
      <c r="BD404" s="287"/>
      <c r="BE404" s="287"/>
      <c r="BF404" s="287"/>
      <c r="BG404" s="287"/>
      <c r="BH404" s="287"/>
      <c r="BI404" s="287"/>
      <c r="BJ404" s="287"/>
      <c r="BK404" s="287"/>
      <c r="BL404" s="287"/>
      <c r="BM404" s="287"/>
      <c r="BN404" s="287"/>
      <c r="BO404" s="287"/>
      <c r="BP404" s="287"/>
      <c r="BQ404" s="287"/>
      <c r="BR404" s="287"/>
      <c r="BS404" s="287"/>
      <c r="BT404" s="287"/>
      <c r="BU404" s="287"/>
      <c r="BV404" s="287"/>
      <c r="BW404" s="287"/>
      <c r="BX404" s="287"/>
      <c r="BY404" s="287"/>
      <c r="BZ404" s="287"/>
      <c r="CA404" s="287"/>
      <c r="CB404" s="287"/>
      <c r="CC404" s="287"/>
      <c r="CD404" s="287"/>
      <c r="CE404" s="287"/>
      <c r="CF404" s="287"/>
      <c r="CG404" s="287"/>
      <c r="CH404" s="287"/>
      <c r="CI404" s="287"/>
      <c r="CJ404" s="287"/>
      <c r="CK404" s="287"/>
      <c r="CL404" s="287"/>
      <c r="CM404" s="287"/>
      <c r="CN404" s="287"/>
      <c r="CO404" s="287"/>
      <c r="CP404" s="287"/>
      <c r="CQ404" s="287"/>
      <c r="CR404" s="287"/>
      <c r="CS404" s="287"/>
      <c r="CT404" s="287"/>
      <c r="CU404" s="287"/>
      <c r="CV404" s="287"/>
      <c r="CW404" s="287"/>
      <c r="CX404" s="287"/>
      <c r="CY404" s="287"/>
      <c r="CZ404" s="287"/>
      <c r="DA404" s="287"/>
      <c r="DB404" s="287"/>
      <c r="DC404" s="287"/>
      <c r="DD404" s="287"/>
      <c r="DE404" s="287"/>
      <c r="DF404" s="287"/>
      <c r="DG404" s="287"/>
      <c r="DH404" s="287"/>
      <c r="DI404" s="287"/>
      <c r="DJ404" s="287"/>
      <c r="DK404" s="287"/>
      <c r="DL404" s="287"/>
      <c r="DM404" s="287"/>
      <c r="DN404" s="287"/>
      <c r="DO404" s="287"/>
      <c r="DP404" s="287"/>
    </row>
    <row r="405" spans="1:120" s="427" customFormat="1" ht="20.25" customHeight="1" x14ac:dyDescent="0.25">
      <c r="A405" s="13"/>
      <c r="H405" s="547"/>
      <c r="I405" s="547"/>
      <c r="J405" s="547"/>
      <c r="K405" s="13"/>
      <c r="P405" s="548"/>
      <c r="BA405" s="287"/>
      <c r="BB405" s="287"/>
      <c r="BC405" s="287"/>
      <c r="BD405" s="287"/>
      <c r="BE405" s="287"/>
      <c r="BF405" s="287"/>
      <c r="BG405" s="287"/>
      <c r="BH405" s="287"/>
      <c r="BI405" s="287"/>
      <c r="BJ405" s="287"/>
      <c r="BK405" s="287"/>
      <c r="BL405" s="287"/>
      <c r="BM405" s="287"/>
      <c r="BN405" s="287"/>
      <c r="BO405" s="287"/>
      <c r="BP405" s="287"/>
      <c r="BQ405" s="287"/>
      <c r="BR405" s="287"/>
      <c r="BS405" s="287"/>
      <c r="BT405" s="287"/>
      <c r="BU405" s="287"/>
      <c r="BV405" s="287"/>
      <c r="BW405" s="287"/>
      <c r="BX405" s="287"/>
      <c r="BY405" s="287"/>
      <c r="BZ405" s="287"/>
      <c r="CA405" s="287"/>
      <c r="CB405" s="287"/>
      <c r="CC405" s="287"/>
      <c r="CD405" s="287"/>
      <c r="CE405" s="287"/>
      <c r="CF405" s="287"/>
      <c r="CG405" s="287"/>
      <c r="CH405" s="287"/>
      <c r="CI405" s="287"/>
      <c r="CJ405" s="287"/>
      <c r="CK405" s="287"/>
      <c r="CL405" s="287"/>
      <c r="CM405" s="287"/>
      <c r="CN405" s="287"/>
      <c r="CO405" s="287"/>
      <c r="CP405" s="287"/>
      <c r="CQ405" s="287"/>
      <c r="CR405" s="287"/>
      <c r="CS405" s="287"/>
      <c r="CT405" s="287"/>
      <c r="CU405" s="287"/>
      <c r="CV405" s="287"/>
      <c r="CW405" s="287"/>
      <c r="CX405" s="287"/>
      <c r="CY405" s="287"/>
      <c r="CZ405" s="287"/>
      <c r="DA405" s="287"/>
      <c r="DB405" s="287"/>
      <c r="DC405" s="287"/>
      <c r="DD405" s="287"/>
      <c r="DE405" s="287"/>
      <c r="DF405" s="287"/>
      <c r="DG405" s="287"/>
      <c r="DH405" s="287"/>
      <c r="DI405" s="287"/>
      <c r="DJ405" s="287"/>
      <c r="DK405" s="287"/>
      <c r="DL405" s="287"/>
      <c r="DM405" s="287"/>
      <c r="DN405" s="287"/>
      <c r="DO405" s="287"/>
      <c r="DP405" s="287"/>
    </row>
    <row r="406" spans="1:120" s="427" customFormat="1" ht="42.75" customHeight="1" x14ac:dyDescent="0.25">
      <c r="A406" s="13"/>
      <c r="B406" s="489">
        <v>17</v>
      </c>
      <c r="C406" s="567" t="s">
        <v>174</v>
      </c>
      <c r="D406" s="567"/>
      <c r="E406" s="567"/>
      <c r="F406" s="567"/>
      <c r="G406" s="567"/>
      <c r="O406" s="475" t="str">
        <f>IF(P406=1, "&lt;===", "")</f>
        <v/>
      </c>
      <c r="P406" s="364" t="str">
        <f>IF(AND(D432&lt;&gt;"",P409=1,P411=1,P413=1,P415=1,P417=1,P419=1),1,"")</f>
        <v/>
      </c>
      <c r="BA406" s="287"/>
      <c r="BB406" s="287"/>
      <c r="BC406" s="287"/>
      <c r="BD406" s="287"/>
      <c r="BE406" s="287"/>
      <c r="BF406" s="287"/>
      <c r="BG406" s="287"/>
      <c r="BH406" s="287"/>
      <c r="BI406" s="287"/>
      <c r="BJ406" s="287"/>
      <c r="BK406" s="287"/>
      <c r="BL406" s="287"/>
      <c r="BM406" s="287"/>
      <c r="BN406" s="287"/>
      <c r="BO406" s="287"/>
      <c r="BP406" s="287"/>
      <c r="BQ406" s="287"/>
      <c r="BR406" s="287"/>
      <c r="BS406" s="287"/>
      <c r="BT406" s="287"/>
      <c r="BU406" s="287"/>
      <c r="BV406" s="287"/>
      <c r="BW406" s="287"/>
      <c r="BX406" s="287"/>
      <c r="BY406" s="287"/>
      <c r="BZ406" s="287"/>
      <c r="CA406" s="287"/>
      <c r="CB406" s="287"/>
      <c r="CC406" s="287"/>
      <c r="CD406" s="287"/>
      <c r="CE406" s="287"/>
      <c r="CF406" s="287"/>
      <c r="CG406" s="287"/>
      <c r="CH406" s="287"/>
      <c r="CI406" s="287"/>
      <c r="CJ406" s="287"/>
      <c r="CK406" s="287"/>
      <c r="CL406" s="287"/>
      <c r="CM406" s="287"/>
      <c r="CN406" s="287"/>
      <c r="CO406" s="287"/>
      <c r="CP406" s="287"/>
      <c r="CQ406" s="287"/>
      <c r="CR406" s="287"/>
      <c r="CS406" s="287"/>
      <c r="CT406" s="287"/>
      <c r="CU406" s="287"/>
      <c r="CV406" s="287"/>
      <c r="CW406" s="287"/>
      <c r="CX406" s="287"/>
      <c r="CY406" s="287"/>
      <c r="CZ406" s="287"/>
      <c r="DA406" s="287"/>
      <c r="DB406" s="287"/>
      <c r="DC406" s="287"/>
      <c r="DD406" s="287"/>
      <c r="DE406" s="287"/>
      <c r="DF406" s="287"/>
      <c r="DG406" s="287"/>
      <c r="DH406" s="287"/>
      <c r="DI406" s="287"/>
      <c r="DJ406" s="287"/>
      <c r="DK406" s="287"/>
      <c r="DL406" s="287"/>
      <c r="DM406" s="287"/>
      <c r="DN406" s="287"/>
      <c r="DO406" s="287"/>
      <c r="DP406" s="287"/>
    </row>
    <row r="407" spans="1:120" s="427" customFormat="1" ht="18.75" customHeight="1" x14ac:dyDescent="0.25">
      <c r="A407" s="13"/>
      <c r="B407" s="380"/>
      <c r="C407" s="467"/>
      <c r="D407" s="467"/>
      <c r="E407" s="474"/>
      <c r="F407" s="747" t="s">
        <v>153</v>
      </c>
      <c r="G407" s="747"/>
      <c r="H407" s="467"/>
      <c r="I407" s="467"/>
      <c r="J407" s="467"/>
      <c r="K407" s="544"/>
      <c r="O407" s="339"/>
      <c r="P407" s="364"/>
      <c r="BA407" s="287"/>
      <c r="BB407" s="287"/>
      <c r="BC407" s="287"/>
      <c r="BD407" s="287"/>
      <c r="BE407" s="287"/>
      <c r="BF407" s="287"/>
      <c r="BG407" s="287"/>
      <c r="BH407" s="287"/>
      <c r="BI407" s="287"/>
      <c r="BJ407" s="287"/>
      <c r="BK407" s="287"/>
      <c r="BL407" s="287"/>
      <c r="BM407" s="287"/>
      <c r="BN407" s="287"/>
      <c r="BO407" s="287"/>
      <c r="BP407" s="287"/>
      <c r="BQ407" s="287"/>
      <c r="BR407" s="287"/>
      <c r="BS407" s="287"/>
      <c r="BT407" s="287"/>
      <c r="BU407" s="287"/>
      <c r="BV407" s="287"/>
      <c r="BW407" s="287"/>
      <c r="BX407" s="287"/>
      <c r="BY407" s="287"/>
      <c r="BZ407" s="287"/>
      <c r="CA407" s="287"/>
      <c r="CB407" s="287"/>
      <c r="CC407" s="287"/>
      <c r="CD407" s="287"/>
      <c r="CE407" s="287"/>
      <c r="CF407" s="287"/>
      <c r="CG407" s="287"/>
      <c r="CH407" s="287"/>
      <c r="CI407" s="287"/>
      <c r="CJ407" s="287"/>
      <c r="CK407" s="287"/>
      <c r="CL407" s="287"/>
      <c r="CM407" s="287"/>
      <c r="CN407" s="287"/>
      <c r="CO407" s="287"/>
      <c r="CP407" s="287"/>
      <c r="CQ407" s="287"/>
      <c r="CR407" s="287"/>
      <c r="CS407" s="287"/>
      <c r="CT407" s="287"/>
      <c r="CU407" s="287"/>
      <c r="CV407" s="287"/>
      <c r="CW407" s="287"/>
      <c r="CX407" s="287"/>
      <c r="CY407" s="287"/>
      <c r="CZ407" s="287"/>
      <c r="DA407" s="287"/>
      <c r="DB407" s="287"/>
      <c r="DC407" s="287"/>
      <c r="DD407" s="287"/>
      <c r="DE407" s="287"/>
      <c r="DF407" s="287"/>
      <c r="DG407" s="287"/>
      <c r="DH407" s="287"/>
      <c r="DI407" s="287"/>
      <c r="DJ407" s="287"/>
      <c r="DK407" s="287"/>
      <c r="DL407" s="287"/>
      <c r="DM407" s="287"/>
      <c r="DN407" s="287"/>
      <c r="DO407" s="287"/>
      <c r="DP407" s="287"/>
    </row>
    <row r="408" spans="1:120" s="427" customFormat="1" ht="8.25" customHeight="1" x14ac:dyDescent="0.25">
      <c r="A408" s="13"/>
      <c r="H408" s="547"/>
      <c r="I408" s="547"/>
      <c r="J408" s="547"/>
      <c r="K408" s="13"/>
      <c r="P408" s="548"/>
      <c r="BA408" s="287"/>
      <c r="BB408" s="287"/>
      <c r="BC408" s="287"/>
      <c r="BD408" s="287"/>
      <c r="BE408" s="287"/>
      <c r="BF408" s="287"/>
      <c r="BG408" s="287"/>
      <c r="BH408" s="287"/>
      <c r="BI408" s="287"/>
      <c r="BJ408" s="287"/>
      <c r="BK408" s="287"/>
      <c r="BL408" s="287"/>
      <c r="BM408" s="287"/>
      <c r="BN408" s="287"/>
      <c r="BO408" s="287"/>
      <c r="BP408" s="287"/>
      <c r="BQ408" s="287"/>
      <c r="BR408" s="287"/>
      <c r="BS408" s="287"/>
      <c r="BT408" s="287"/>
      <c r="BU408" s="287"/>
      <c r="BV408" s="287"/>
      <c r="BW408" s="287"/>
      <c r="BX408" s="287"/>
      <c r="BY408" s="287"/>
      <c r="BZ408" s="287"/>
      <c r="CA408" s="287"/>
      <c r="CB408" s="287"/>
      <c r="CC408" s="287"/>
      <c r="CD408" s="287"/>
      <c r="CE408" s="287"/>
      <c r="CF408" s="287"/>
      <c r="CG408" s="287"/>
      <c r="CH408" s="287"/>
      <c r="CI408" s="287"/>
      <c r="CJ408" s="287"/>
      <c r="CK408" s="287"/>
      <c r="CL408" s="287"/>
      <c r="CM408" s="287"/>
      <c r="CN408" s="287"/>
      <c r="CO408" s="287"/>
      <c r="CP408" s="287"/>
      <c r="CQ408" s="287"/>
      <c r="CR408" s="287"/>
      <c r="CS408" s="287"/>
      <c r="CT408" s="287"/>
      <c r="CU408" s="287"/>
      <c r="CV408" s="287"/>
      <c r="CW408" s="287"/>
      <c r="CX408" s="287"/>
      <c r="CY408" s="287"/>
      <c r="CZ408" s="287"/>
      <c r="DA408" s="287"/>
      <c r="DB408" s="287"/>
      <c r="DC408" s="287"/>
      <c r="DD408" s="287"/>
      <c r="DE408" s="287"/>
      <c r="DF408" s="287"/>
      <c r="DG408" s="287"/>
      <c r="DH408" s="287"/>
      <c r="DI408" s="287"/>
      <c r="DJ408" s="287"/>
      <c r="DK408" s="287"/>
      <c r="DL408" s="287"/>
      <c r="DM408" s="287"/>
      <c r="DN408" s="287"/>
      <c r="DO408" s="287"/>
      <c r="DP408" s="287"/>
    </row>
    <row r="409" spans="1:120" s="427" customFormat="1" ht="28.5" customHeight="1" x14ac:dyDescent="0.25">
      <c r="A409" s="13"/>
      <c r="D409" s="569" t="s">
        <v>175</v>
      </c>
      <c r="E409" s="569"/>
      <c r="F409" s="569"/>
      <c r="G409" s="477" t="b">
        <v>0</v>
      </c>
      <c r="H409" s="476"/>
      <c r="I409" s="808" t="str">
        <f>IF(AND(D432&lt;&gt;"",P409=1,P411=1,P413=1,P415=1,P417=1,P419=1),"&lt;== At least one must be selected.","")</f>
        <v/>
      </c>
      <c r="J409" s="808"/>
      <c r="K409" s="808"/>
      <c r="L409" s="808"/>
      <c r="M409" s="808"/>
      <c r="P409" s="364" t="str">
        <f>IF(AND(D432&lt;&gt;"",G409=FALSE),1,"")</f>
        <v/>
      </c>
      <c r="Q409" s="548"/>
      <c r="BA409" s="287"/>
      <c r="BB409" s="287"/>
      <c r="BC409" s="287"/>
      <c r="BD409" s="287"/>
      <c r="BE409" s="287"/>
      <c r="BF409" s="287"/>
      <c r="BG409" s="287"/>
      <c r="BH409" s="287"/>
      <c r="BI409" s="287"/>
      <c r="BJ409" s="287"/>
      <c r="BK409" s="287"/>
      <c r="BL409" s="287"/>
      <c r="BM409" s="287"/>
      <c r="BN409" s="287"/>
      <c r="BO409" s="287"/>
      <c r="BP409" s="287"/>
      <c r="BQ409" s="287"/>
      <c r="BR409" s="287"/>
      <c r="BS409" s="287"/>
      <c r="BT409" s="287"/>
      <c r="BU409" s="287"/>
      <c r="BV409" s="287"/>
      <c r="BW409" s="287"/>
      <c r="BX409" s="287"/>
      <c r="BY409" s="287"/>
      <c r="BZ409" s="287"/>
      <c r="CA409" s="287"/>
      <c r="CB409" s="287"/>
      <c r="CC409" s="287"/>
      <c r="CD409" s="287"/>
      <c r="CE409" s="287"/>
      <c r="CF409" s="287"/>
      <c r="CG409" s="287"/>
      <c r="CH409" s="287"/>
      <c r="CI409" s="287"/>
      <c r="CJ409" s="287"/>
      <c r="CK409" s="287"/>
      <c r="CL409" s="287"/>
      <c r="CM409" s="287"/>
      <c r="CN409" s="287"/>
      <c r="CO409" s="287"/>
      <c r="CP409" s="287"/>
      <c r="CQ409" s="287"/>
      <c r="CR409" s="287"/>
      <c r="CS409" s="287"/>
      <c r="CT409" s="287"/>
      <c r="CU409" s="287"/>
      <c r="CV409" s="287"/>
      <c r="CW409" s="287"/>
      <c r="CX409" s="287"/>
      <c r="CY409" s="287"/>
      <c r="CZ409" s="287"/>
      <c r="DA409" s="287"/>
      <c r="DB409" s="287"/>
      <c r="DC409" s="287"/>
      <c r="DD409" s="287"/>
      <c r="DE409" s="287"/>
      <c r="DF409" s="287"/>
      <c r="DG409" s="287"/>
      <c r="DH409" s="287"/>
      <c r="DI409" s="287"/>
      <c r="DJ409" s="287"/>
      <c r="DK409" s="287"/>
      <c r="DL409" s="287"/>
      <c r="DM409" s="287"/>
      <c r="DN409" s="287"/>
      <c r="DO409" s="287"/>
      <c r="DP409" s="287"/>
    </row>
    <row r="410" spans="1:120" s="427" customFormat="1" ht="10.5" customHeight="1" x14ac:dyDescent="0.25">
      <c r="A410" s="13"/>
      <c r="D410" s="479"/>
      <c r="E410" s="479"/>
      <c r="F410" s="479"/>
      <c r="I410" s="808"/>
      <c r="J410" s="808"/>
      <c r="K410" s="808"/>
      <c r="L410" s="808"/>
      <c r="M410" s="808"/>
      <c r="P410" s="548"/>
      <c r="Q410" s="548"/>
      <c r="BA410" s="287"/>
      <c r="BB410" s="287"/>
      <c r="BC410" s="287"/>
      <c r="BD410" s="287"/>
      <c r="BE410" s="287"/>
      <c r="BF410" s="287"/>
      <c r="BG410" s="287"/>
      <c r="BH410" s="287"/>
      <c r="BI410" s="287"/>
      <c r="BJ410" s="287"/>
      <c r="BK410" s="287"/>
      <c r="BL410" s="287"/>
      <c r="BM410" s="287"/>
      <c r="BN410" s="287"/>
      <c r="BO410" s="287"/>
      <c r="BP410" s="287"/>
      <c r="BQ410" s="287"/>
      <c r="BR410" s="287"/>
      <c r="BS410" s="287"/>
      <c r="BT410" s="287"/>
      <c r="BU410" s="287"/>
      <c r="BV410" s="287"/>
      <c r="BW410" s="287"/>
      <c r="BX410" s="287"/>
      <c r="BY410" s="287"/>
      <c r="BZ410" s="287"/>
      <c r="CA410" s="287"/>
      <c r="CB410" s="287"/>
      <c r="CC410" s="287"/>
      <c r="CD410" s="287"/>
      <c r="CE410" s="287"/>
      <c r="CF410" s="287"/>
      <c r="CG410" s="287"/>
      <c r="CH410" s="287"/>
      <c r="CI410" s="287"/>
      <c r="CJ410" s="287"/>
      <c r="CK410" s="287"/>
      <c r="CL410" s="287"/>
      <c r="CM410" s="287"/>
      <c r="CN410" s="287"/>
      <c r="CO410" s="287"/>
      <c r="CP410" s="287"/>
      <c r="CQ410" s="287"/>
      <c r="CR410" s="287"/>
      <c r="CS410" s="287"/>
      <c r="CT410" s="287"/>
      <c r="CU410" s="287"/>
      <c r="CV410" s="287"/>
      <c r="CW410" s="287"/>
      <c r="CX410" s="287"/>
      <c r="CY410" s="287"/>
      <c r="CZ410" s="287"/>
      <c r="DA410" s="287"/>
      <c r="DB410" s="287"/>
      <c r="DC410" s="287"/>
      <c r="DD410" s="287"/>
      <c r="DE410" s="287"/>
      <c r="DF410" s="287"/>
      <c r="DG410" s="287"/>
      <c r="DH410" s="287"/>
      <c r="DI410" s="287"/>
      <c r="DJ410" s="287"/>
      <c r="DK410" s="287"/>
      <c r="DL410" s="287"/>
      <c r="DM410" s="287"/>
      <c r="DN410" s="287"/>
      <c r="DO410" s="287"/>
      <c r="DP410" s="287"/>
    </row>
    <row r="411" spans="1:120" s="427" customFormat="1" ht="28.5" customHeight="1" x14ac:dyDescent="0.25">
      <c r="A411" s="13"/>
      <c r="C411" s="280"/>
      <c r="D411" s="569" t="s">
        <v>176</v>
      </c>
      <c r="E411" s="569"/>
      <c r="F411" s="576"/>
      <c r="G411" s="477" t="b">
        <v>0</v>
      </c>
      <c r="H411" s="545"/>
      <c r="I411" s="808"/>
      <c r="J411" s="808"/>
      <c r="K411" s="808"/>
      <c r="L411" s="808"/>
      <c r="M411" s="808"/>
      <c r="O411" s="475"/>
      <c r="P411" s="364" t="str">
        <f>IF(AND(D432&lt;&gt;"",G411=FALSE),1,"")</f>
        <v/>
      </c>
      <c r="Q411" s="548"/>
      <c r="BA411" s="287"/>
      <c r="BB411" s="287"/>
      <c r="BC411" s="287"/>
      <c r="BD411" s="287"/>
      <c r="BE411" s="287"/>
      <c r="BF411" s="287"/>
      <c r="BG411" s="287"/>
      <c r="BH411" s="287"/>
      <c r="BI411" s="287"/>
      <c r="BJ411" s="287"/>
      <c r="BK411" s="287"/>
      <c r="BL411" s="287"/>
      <c r="BM411" s="287"/>
      <c r="BN411" s="287"/>
      <c r="BO411" s="287"/>
      <c r="BP411" s="287"/>
      <c r="BQ411" s="287"/>
      <c r="BR411" s="287"/>
      <c r="BS411" s="287"/>
      <c r="BT411" s="287"/>
      <c r="BU411" s="287"/>
      <c r="BV411" s="287"/>
      <c r="BW411" s="287"/>
      <c r="BX411" s="287"/>
      <c r="BY411" s="287"/>
      <c r="BZ411" s="287"/>
      <c r="CA411" s="287"/>
      <c r="CB411" s="287"/>
      <c r="CC411" s="287"/>
      <c r="CD411" s="287"/>
      <c r="CE411" s="287"/>
      <c r="CF411" s="287"/>
      <c r="CG411" s="287"/>
      <c r="CH411" s="287"/>
      <c r="CI411" s="287"/>
      <c r="CJ411" s="287"/>
      <c r="CK411" s="287"/>
      <c r="CL411" s="287"/>
      <c r="CM411" s="287"/>
      <c r="CN411" s="287"/>
      <c r="CO411" s="287"/>
      <c r="CP411" s="287"/>
      <c r="CQ411" s="287"/>
      <c r="CR411" s="287"/>
      <c r="CS411" s="287"/>
      <c r="CT411" s="287"/>
      <c r="CU411" s="287"/>
      <c r="CV411" s="287"/>
      <c r="CW411" s="287"/>
      <c r="CX411" s="287"/>
      <c r="CY411" s="287"/>
      <c r="CZ411" s="287"/>
      <c r="DA411" s="287"/>
      <c r="DB411" s="287"/>
      <c r="DC411" s="287"/>
      <c r="DD411" s="287"/>
      <c r="DE411" s="287"/>
      <c r="DF411" s="287"/>
      <c r="DG411" s="287"/>
      <c r="DH411" s="287"/>
      <c r="DI411" s="287"/>
      <c r="DJ411" s="287"/>
      <c r="DK411" s="287"/>
      <c r="DL411" s="287"/>
      <c r="DM411" s="287"/>
      <c r="DN411" s="287"/>
      <c r="DO411" s="287"/>
      <c r="DP411" s="287"/>
    </row>
    <row r="412" spans="1:120" s="427" customFormat="1" ht="10.5" customHeight="1" x14ac:dyDescent="0.25">
      <c r="A412" s="13"/>
      <c r="D412" s="479"/>
      <c r="E412" s="479"/>
      <c r="F412" s="479"/>
      <c r="I412" s="808"/>
      <c r="J412" s="808"/>
      <c r="K412" s="808"/>
      <c r="L412" s="808"/>
      <c r="M412" s="808"/>
      <c r="P412" s="548"/>
      <c r="Q412" s="548"/>
      <c r="BA412" s="287"/>
      <c r="BB412" s="287"/>
      <c r="BC412" s="287"/>
      <c r="BD412" s="287"/>
      <c r="BE412" s="287"/>
      <c r="BF412" s="287"/>
      <c r="BG412" s="287"/>
      <c r="BH412" s="287"/>
      <c r="BI412" s="287"/>
      <c r="BJ412" s="287"/>
      <c r="BK412" s="287"/>
      <c r="BL412" s="287"/>
      <c r="BM412" s="287"/>
      <c r="BN412" s="287"/>
      <c r="BO412" s="287"/>
      <c r="BP412" s="287"/>
      <c r="BQ412" s="287"/>
      <c r="BR412" s="287"/>
      <c r="BS412" s="287"/>
      <c r="BT412" s="287"/>
      <c r="BU412" s="287"/>
      <c r="BV412" s="287"/>
      <c r="BW412" s="287"/>
      <c r="BX412" s="287"/>
      <c r="BY412" s="287"/>
      <c r="BZ412" s="287"/>
      <c r="CA412" s="287"/>
      <c r="CB412" s="287"/>
      <c r="CC412" s="287"/>
      <c r="CD412" s="287"/>
      <c r="CE412" s="287"/>
      <c r="CF412" s="287"/>
      <c r="CG412" s="287"/>
      <c r="CH412" s="287"/>
      <c r="CI412" s="287"/>
      <c r="CJ412" s="287"/>
      <c r="CK412" s="287"/>
      <c r="CL412" s="287"/>
      <c r="CM412" s="287"/>
      <c r="CN412" s="287"/>
      <c r="CO412" s="287"/>
      <c r="CP412" s="287"/>
      <c r="CQ412" s="287"/>
      <c r="CR412" s="287"/>
      <c r="CS412" s="287"/>
      <c r="CT412" s="287"/>
      <c r="CU412" s="287"/>
      <c r="CV412" s="287"/>
      <c r="CW412" s="287"/>
      <c r="CX412" s="287"/>
      <c r="CY412" s="287"/>
      <c r="CZ412" s="287"/>
      <c r="DA412" s="287"/>
      <c r="DB412" s="287"/>
      <c r="DC412" s="287"/>
      <c r="DD412" s="287"/>
      <c r="DE412" s="287"/>
      <c r="DF412" s="287"/>
      <c r="DG412" s="287"/>
      <c r="DH412" s="287"/>
      <c r="DI412" s="287"/>
      <c r="DJ412" s="287"/>
      <c r="DK412" s="287"/>
      <c r="DL412" s="287"/>
      <c r="DM412" s="287"/>
      <c r="DN412" s="287"/>
      <c r="DO412" s="287"/>
      <c r="DP412" s="287"/>
    </row>
    <row r="413" spans="1:120" s="427" customFormat="1" ht="28.5" customHeight="1" x14ac:dyDescent="0.25">
      <c r="A413" s="13"/>
      <c r="D413" s="569" t="s">
        <v>177</v>
      </c>
      <c r="E413" s="569"/>
      <c r="F413" s="569"/>
      <c r="G413" s="477" t="b">
        <v>0</v>
      </c>
      <c r="H413" s="545"/>
      <c r="I413" s="808"/>
      <c r="J413" s="808"/>
      <c r="K413" s="808"/>
      <c r="L413" s="808"/>
      <c r="M413" s="808"/>
      <c r="O413" s="475"/>
      <c r="P413" s="364" t="str">
        <f>IF(AND(D432&lt;&gt;"",G413=FALSE),1,"")</f>
        <v/>
      </c>
      <c r="Q413" s="548"/>
      <c r="BA413" s="287"/>
      <c r="BB413" s="287"/>
      <c r="BC413" s="287"/>
      <c r="BD413" s="287"/>
      <c r="BE413" s="287"/>
      <c r="BF413" s="287"/>
      <c r="BG413" s="287"/>
      <c r="BH413" s="287"/>
      <c r="BI413" s="287"/>
      <c r="BJ413" s="287"/>
      <c r="BK413" s="287"/>
      <c r="BL413" s="287"/>
      <c r="BM413" s="287"/>
      <c r="BN413" s="287"/>
      <c r="BO413" s="287"/>
      <c r="BP413" s="287"/>
      <c r="BQ413" s="287"/>
      <c r="BR413" s="287"/>
      <c r="BS413" s="287"/>
      <c r="BT413" s="287"/>
      <c r="BU413" s="287"/>
      <c r="BV413" s="287"/>
      <c r="BW413" s="287"/>
      <c r="BX413" s="287"/>
      <c r="BY413" s="287"/>
      <c r="BZ413" s="287"/>
      <c r="CA413" s="287"/>
      <c r="CB413" s="287"/>
      <c r="CC413" s="287"/>
      <c r="CD413" s="287"/>
      <c r="CE413" s="287"/>
      <c r="CF413" s="287"/>
      <c r="CG413" s="287"/>
      <c r="CH413" s="287"/>
      <c r="CI413" s="287"/>
      <c r="CJ413" s="287"/>
      <c r="CK413" s="287"/>
      <c r="CL413" s="287"/>
      <c r="CM413" s="287"/>
      <c r="CN413" s="287"/>
      <c r="CO413" s="287"/>
      <c r="CP413" s="287"/>
      <c r="CQ413" s="287"/>
      <c r="CR413" s="287"/>
      <c r="CS413" s="287"/>
      <c r="CT413" s="287"/>
      <c r="CU413" s="287"/>
      <c r="CV413" s="287"/>
      <c r="CW413" s="287"/>
      <c r="CX413" s="287"/>
      <c r="CY413" s="287"/>
      <c r="CZ413" s="287"/>
      <c r="DA413" s="287"/>
      <c r="DB413" s="287"/>
      <c r="DC413" s="287"/>
      <c r="DD413" s="287"/>
      <c r="DE413" s="287"/>
      <c r="DF413" s="287"/>
      <c r="DG413" s="287"/>
      <c r="DH413" s="287"/>
      <c r="DI413" s="287"/>
      <c r="DJ413" s="287"/>
      <c r="DK413" s="287"/>
      <c r="DL413" s="287"/>
      <c r="DM413" s="287"/>
      <c r="DN413" s="287"/>
      <c r="DO413" s="287"/>
      <c r="DP413" s="287"/>
    </row>
    <row r="414" spans="1:120" s="287" customFormat="1" ht="8.25" customHeight="1" x14ac:dyDescent="0.25">
      <c r="A414" s="521"/>
      <c r="C414" s="522"/>
      <c r="D414" s="523"/>
      <c r="E414" s="523"/>
      <c r="F414" s="523"/>
      <c r="G414" s="522"/>
      <c r="I414" s="808"/>
      <c r="J414" s="808"/>
      <c r="K414" s="808"/>
      <c r="L414" s="808"/>
      <c r="M414" s="808"/>
      <c r="P414" s="439"/>
    </row>
    <row r="415" spans="1:120" s="427" customFormat="1" ht="28.5" customHeight="1" x14ac:dyDescent="0.25">
      <c r="A415" s="13"/>
      <c r="D415" s="569" t="s">
        <v>178</v>
      </c>
      <c r="E415" s="569"/>
      <c r="F415" s="569"/>
      <c r="G415" s="477" t="b">
        <v>0</v>
      </c>
      <c r="H415" s="545"/>
      <c r="I415" s="547"/>
      <c r="J415" s="547"/>
      <c r="K415" s="547"/>
      <c r="L415" s="547"/>
      <c r="M415" s="547"/>
      <c r="O415" s="475"/>
      <c r="P415" s="364" t="str">
        <f>IF(AND(D432&lt;&gt;"",G415=FALSE),1,"")</f>
        <v/>
      </c>
      <c r="Q415" s="548"/>
      <c r="BA415" s="287"/>
      <c r="BB415" s="287"/>
      <c r="BC415" s="287"/>
      <c r="BD415" s="287"/>
      <c r="BE415" s="287"/>
      <c r="BF415" s="287"/>
      <c r="BG415" s="287"/>
      <c r="BH415" s="287"/>
      <c r="BI415" s="287"/>
      <c r="BJ415" s="287"/>
      <c r="BK415" s="287"/>
      <c r="BL415" s="287"/>
      <c r="BM415" s="287"/>
      <c r="BN415" s="287"/>
      <c r="BO415" s="287"/>
      <c r="BP415" s="287"/>
      <c r="BQ415" s="287"/>
      <c r="BR415" s="287"/>
      <c r="BS415" s="287"/>
      <c r="BT415" s="287"/>
      <c r="BU415" s="287"/>
      <c r="BV415" s="287"/>
      <c r="BW415" s="287"/>
      <c r="BX415" s="287"/>
      <c r="BY415" s="287"/>
      <c r="BZ415" s="287"/>
      <c r="CA415" s="287"/>
      <c r="CB415" s="287"/>
      <c r="CC415" s="287"/>
      <c r="CD415" s="287"/>
      <c r="CE415" s="287"/>
      <c r="CF415" s="287"/>
      <c r="CG415" s="287"/>
      <c r="CH415" s="287"/>
      <c r="CI415" s="287"/>
      <c r="CJ415" s="287"/>
      <c r="CK415" s="287"/>
      <c r="CL415" s="287"/>
      <c r="CM415" s="287"/>
      <c r="CN415" s="287"/>
      <c r="CO415" s="287"/>
      <c r="CP415" s="287"/>
      <c r="CQ415" s="287"/>
      <c r="CR415" s="287"/>
      <c r="CS415" s="287"/>
      <c r="CT415" s="287"/>
      <c r="CU415" s="287"/>
      <c r="CV415" s="287"/>
      <c r="CW415" s="287"/>
      <c r="CX415" s="287"/>
      <c r="CY415" s="287"/>
      <c r="CZ415" s="287"/>
      <c r="DA415" s="287"/>
      <c r="DB415" s="287"/>
      <c r="DC415" s="287"/>
      <c r="DD415" s="287"/>
      <c r="DE415" s="287"/>
      <c r="DF415" s="287"/>
      <c r="DG415" s="287"/>
      <c r="DH415" s="287"/>
      <c r="DI415" s="287"/>
      <c r="DJ415" s="287"/>
      <c r="DK415" s="287"/>
      <c r="DL415" s="287"/>
      <c r="DM415" s="287"/>
      <c r="DN415" s="287"/>
      <c r="DO415" s="287"/>
      <c r="DP415" s="287"/>
    </row>
    <row r="416" spans="1:120" s="427" customFormat="1" ht="8.25" customHeight="1" x14ac:dyDescent="0.25">
      <c r="A416" s="13"/>
      <c r="C416" s="522"/>
      <c r="D416" s="523"/>
      <c r="E416" s="523"/>
      <c r="F416" s="523"/>
      <c r="G416" s="522"/>
      <c r="H416" s="287"/>
      <c r="I416" s="547"/>
      <c r="J416" s="547"/>
      <c r="K416" s="547"/>
      <c r="L416" s="547"/>
      <c r="M416" s="547"/>
      <c r="P416" s="548"/>
      <c r="BA416" s="287"/>
      <c r="BB416" s="287"/>
      <c r="BC416" s="287"/>
      <c r="BD416" s="287"/>
      <c r="BE416" s="287"/>
      <c r="BF416" s="287"/>
      <c r="BG416" s="287"/>
      <c r="BH416" s="287"/>
      <c r="BI416" s="287"/>
      <c r="BJ416" s="287"/>
      <c r="BK416" s="287"/>
      <c r="BL416" s="287"/>
      <c r="BM416" s="287"/>
      <c r="BN416" s="287"/>
      <c r="BO416" s="287"/>
      <c r="BP416" s="287"/>
      <c r="BQ416" s="287"/>
      <c r="BR416" s="287"/>
      <c r="BS416" s="287"/>
      <c r="BT416" s="287"/>
      <c r="BU416" s="287"/>
      <c r="BV416" s="287"/>
      <c r="BW416" s="287"/>
      <c r="BX416" s="287"/>
      <c r="BY416" s="287"/>
      <c r="BZ416" s="287"/>
      <c r="CA416" s="287"/>
      <c r="CB416" s="287"/>
      <c r="CC416" s="287"/>
      <c r="CD416" s="287"/>
      <c r="CE416" s="287"/>
      <c r="CF416" s="287"/>
      <c r="CG416" s="287"/>
      <c r="CH416" s="287"/>
      <c r="CI416" s="287"/>
      <c r="CJ416" s="287"/>
      <c r="CK416" s="287"/>
      <c r="CL416" s="287"/>
      <c r="CM416" s="287"/>
      <c r="CN416" s="287"/>
      <c r="CO416" s="287"/>
      <c r="CP416" s="287"/>
      <c r="CQ416" s="287"/>
      <c r="CR416" s="287"/>
      <c r="CS416" s="287"/>
      <c r="CT416" s="287"/>
      <c r="CU416" s="287"/>
      <c r="CV416" s="287"/>
      <c r="CW416" s="287"/>
      <c r="CX416" s="287"/>
      <c r="CY416" s="287"/>
      <c r="CZ416" s="287"/>
      <c r="DA416" s="287"/>
      <c r="DB416" s="287"/>
      <c r="DC416" s="287"/>
      <c r="DD416" s="287"/>
      <c r="DE416" s="287"/>
      <c r="DF416" s="287"/>
      <c r="DG416" s="287"/>
      <c r="DH416" s="287"/>
      <c r="DI416" s="287"/>
      <c r="DJ416" s="287"/>
      <c r="DK416" s="287"/>
      <c r="DL416" s="287"/>
      <c r="DM416" s="287"/>
      <c r="DN416" s="287"/>
      <c r="DO416" s="287"/>
      <c r="DP416" s="287"/>
    </row>
    <row r="417" spans="1:120" s="427" customFormat="1" ht="28.5" customHeight="1" x14ac:dyDescent="0.25">
      <c r="A417" s="13"/>
      <c r="D417" s="569" t="s">
        <v>179</v>
      </c>
      <c r="E417" s="569"/>
      <c r="F417" s="569"/>
      <c r="G417" s="477" t="b">
        <v>0</v>
      </c>
      <c r="H417" s="476"/>
      <c r="I417" s="547"/>
      <c r="J417" s="547"/>
      <c r="K417" s="547"/>
      <c r="L417" s="547"/>
      <c r="M417" s="547"/>
      <c r="P417" s="364" t="str">
        <f>IF(AND(D432&lt;&gt;"",G417=FALSE),1,"")</f>
        <v/>
      </c>
      <c r="Q417" s="548"/>
      <c r="BA417" s="287"/>
      <c r="BB417" s="287"/>
      <c r="BC417" s="287"/>
      <c r="BD417" s="287"/>
      <c r="BE417" s="287"/>
      <c r="BF417" s="287"/>
      <c r="BG417" s="287"/>
      <c r="BH417" s="287"/>
      <c r="BI417" s="287"/>
      <c r="BJ417" s="287"/>
      <c r="BK417" s="287"/>
      <c r="BL417" s="287"/>
      <c r="BM417" s="287"/>
      <c r="BN417" s="287"/>
      <c r="BO417" s="287"/>
      <c r="BP417" s="287"/>
      <c r="BQ417" s="287"/>
      <c r="BR417" s="287"/>
      <c r="BS417" s="287"/>
      <c r="BT417" s="287"/>
      <c r="BU417" s="287"/>
      <c r="BV417" s="287"/>
      <c r="BW417" s="287"/>
      <c r="BX417" s="287"/>
      <c r="BY417" s="287"/>
      <c r="BZ417" s="287"/>
      <c r="CA417" s="287"/>
      <c r="CB417" s="287"/>
      <c r="CC417" s="287"/>
      <c r="CD417" s="287"/>
      <c r="CE417" s="287"/>
      <c r="CF417" s="287"/>
      <c r="CG417" s="287"/>
      <c r="CH417" s="287"/>
      <c r="CI417" s="287"/>
      <c r="CJ417" s="287"/>
      <c r="CK417" s="287"/>
      <c r="CL417" s="287"/>
      <c r="CM417" s="287"/>
      <c r="CN417" s="287"/>
      <c r="CO417" s="287"/>
      <c r="CP417" s="287"/>
      <c r="CQ417" s="287"/>
      <c r="CR417" s="287"/>
      <c r="CS417" s="287"/>
      <c r="CT417" s="287"/>
      <c r="CU417" s="287"/>
      <c r="CV417" s="287"/>
      <c r="CW417" s="287"/>
      <c r="CX417" s="287"/>
      <c r="CY417" s="287"/>
      <c r="CZ417" s="287"/>
      <c r="DA417" s="287"/>
      <c r="DB417" s="287"/>
      <c r="DC417" s="287"/>
      <c r="DD417" s="287"/>
      <c r="DE417" s="287"/>
      <c r="DF417" s="287"/>
      <c r="DG417" s="287"/>
      <c r="DH417" s="287"/>
      <c r="DI417" s="287"/>
      <c r="DJ417" s="287"/>
      <c r="DK417" s="287"/>
      <c r="DL417" s="287"/>
      <c r="DM417" s="287"/>
      <c r="DN417" s="287"/>
      <c r="DO417" s="287"/>
      <c r="DP417" s="287"/>
    </row>
    <row r="418" spans="1:120" s="427" customFormat="1" ht="10.5" customHeight="1" x14ac:dyDescent="0.25">
      <c r="A418" s="13"/>
      <c r="D418" s="479"/>
      <c r="E418" s="479"/>
      <c r="F418" s="479"/>
      <c r="I418" s="547"/>
      <c r="J418" s="547"/>
      <c r="K418" s="547"/>
      <c r="L418" s="547"/>
      <c r="M418" s="547"/>
      <c r="P418" s="548"/>
      <c r="Q418" s="548"/>
      <c r="BA418" s="287"/>
      <c r="BB418" s="287"/>
      <c r="BC418" s="287"/>
      <c r="BD418" s="287"/>
      <c r="BE418" s="287"/>
      <c r="BF418" s="287"/>
      <c r="BG418" s="287"/>
      <c r="BH418" s="287"/>
      <c r="BI418" s="287"/>
      <c r="BJ418" s="287"/>
      <c r="BK418" s="287"/>
      <c r="BL418" s="287"/>
      <c r="BM418" s="287"/>
      <c r="BN418" s="287"/>
      <c r="BO418" s="287"/>
      <c r="BP418" s="287"/>
      <c r="BQ418" s="287"/>
      <c r="BR418" s="287"/>
      <c r="BS418" s="287"/>
      <c r="BT418" s="287"/>
      <c r="BU418" s="287"/>
      <c r="BV418" s="287"/>
      <c r="BW418" s="287"/>
      <c r="BX418" s="287"/>
      <c r="BY418" s="287"/>
      <c r="BZ418" s="287"/>
      <c r="CA418" s="287"/>
      <c r="CB418" s="287"/>
      <c r="CC418" s="287"/>
      <c r="CD418" s="287"/>
      <c r="CE418" s="287"/>
      <c r="CF418" s="287"/>
      <c r="CG418" s="287"/>
      <c r="CH418" s="287"/>
      <c r="CI418" s="287"/>
      <c r="CJ418" s="287"/>
      <c r="CK418" s="287"/>
      <c r="CL418" s="287"/>
      <c r="CM418" s="287"/>
      <c r="CN418" s="287"/>
      <c r="CO418" s="287"/>
      <c r="CP418" s="287"/>
      <c r="CQ418" s="287"/>
      <c r="CR418" s="287"/>
      <c r="CS418" s="287"/>
      <c r="CT418" s="287"/>
      <c r="CU418" s="287"/>
      <c r="CV418" s="287"/>
      <c r="CW418" s="287"/>
      <c r="CX418" s="287"/>
      <c r="CY418" s="287"/>
      <c r="CZ418" s="287"/>
      <c r="DA418" s="287"/>
      <c r="DB418" s="287"/>
      <c r="DC418" s="287"/>
      <c r="DD418" s="287"/>
      <c r="DE418" s="287"/>
      <c r="DF418" s="287"/>
      <c r="DG418" s="287"/>
      <c r="DH418" s="287"/>
      <c r="DI418" s="287"/>
      <c r="DJ418" s="287"/>
      <c r="DK418" s="287"/>
      <c r="DL418" s="287"/>
      <c r="DM418" s="287"/>
      <c r="DN418" s="287"/>
      <c r="DO418" s="287"/>
      <c r="DP418" s="287"/>
    </row>
    <row r="419" spans="1:120" s="427" customFormat="1" ht="28.5" customHeight="1" x14ac:dyDescent="0.25">
      <c r="A419" s="13"/>
      <c r="C419" s="280"/>
      <c r="D419" s="569" t="s">
        <v>180</v>
      </c>
      <c r="E419" s="569"/>
      <c r="F419" s="576"/>
      <c r="G419" s="477" t="b">
        <v>0</v>
      </c>
      <c r="H419" s="545"/>
      <c r="I419" s="547"/>
      <c r="J419" s="547"/>
      <c r="K419" s="547"/>
      <c r="L419" s="547"/>
      <c r="M419" s="547"/>
      <c r="O419" s="475"/>
      <c r="P419" s="364" t="str">
        <f>IF(AND(D432&lt;&gt;"",G419=FALSE),1,"")</f>
        <v/>
      </c>
      <c r="Q419" s="548"/>
      <c r="BA419" s="287"/>
      <c r="BB419" s="287"/>
      <c r="BC419" s="287"/>
      <c r="BD419" s="287"/>
      <c r="BE419" s="287"/>
      <c r="BF419" s="287"/>
      <c r="BG419" s="287"/>
      <c r="BH419" s="287"/>
      <c r="BI419" s="287"/>
      <c r="BJ419" s="287"/>
      <c r="BK419" s="287"/>
      <c r="BL419" s="287"/>
      <c r="BM419" s="287"/>
      <c r="BN419" s="287"/>
      <c r="BO419" s="287"/>
      <c r="BP419" s="287"/>
      <c r="BQ419" s="287"/>
      <c r="BR419" s="287"/>
      <c r="BS419" s="287"/>
      <c r="BT419" s="287"/>
      <c r="BU419" s="287"/>
      <c r="BV419" s="287"/>
      <c r="BW419" s="287"/>
      <c r="BX419" s="287"/>
      <c r="BY419" s="287"/>
      <c r="BZ419" s="287"/>
      <c r="CA419" s="287"/>
      <c r="CB419" s="287"/>
      <c r="CC419" s="287"/>
      <c r="CD419" s="287"/>
      <c r="CE419" s="287"/>
      <c r="CF419" s="287"/>
      <c r="CG419" s="287"/>
      <c r="CH419" s="287"/>
      <c r="CI419" s="287"/>
      <c r="CJ419" s="287"/>
      <c r="CK419" s="287"/>
      <c r="CL419" s="287"/>
      <c r="CM419" s="287"/>
      <c r="CN419" s="287"/>
      <c r="CO419" s="287"/>
      <c r="CP419" s="287"/>
      <c r="CQ419" s="287"/>
      <c r="CR419" s="287"/>
      <c r="CS419" s="287"/>
      <c r="CT419" s="287"/>
      <c r="CU419" s="287"/>
      <c r="CV419" s="287"/>
      <c r="CW419" s="287"/>
      <c r="CX419" s="287"/>
      <c r="CY419" s="287"/>
      <c r="CZ419" s="287"/>
      <c r="DA419" s="287"/>
      <c r="DB419" s="287"/>
      <c r="DC419" s="287"/>
      <c r="DD419" s="287"/>
      <c r="DE419" s="287"/>
      <c r="DF419" s="287"/>
      <c r="DG419" s="287"/>
      <c r="DH419" s="287"/>
      <c r="DI419" s="287"/>
      <c r="DJ419" s="287"/>
      <c r="DK419" s="287"/>
      <c r="DL419" s="287"/>
      <c r="DM419" s="287"/>
      <c r="DN419" s="287"/>
      <c r="DO419" s="287"/>
      <c r="DP419" s="287"/>
    </row>
    <row r="420" spans="1:120" s="427" customFormat="1" ht="10.5" customHeight="1" x14ac:dyDescent="0.25">
      <c r="A420" s="13"/>
      <c r="D420" s="479"/>
      <c r="E420" s="479"/>
      <c r="F420" s="479"/>
      <c r="I420" s="547"/>
      <c r="J420" s="547"/>
      <c r="K420" s="547"/>
      <c r="L420" s="547"/>
      <c r="M420" s="547"/>
      <c r="P420" s="548"/>
      <c r="Q420" s="548"/>
      <c r="BA420" s="287"/>
      <c r="BB420" s="287"/>
      <c r="BC420" s="287"/>
      <c r="BD420" s="287"/>
      <c r="BE420" s="287"/>
      <c r="BF420" s="287"/>
      <c r="BG420" s="287"/>
      <c r="BH420" s="287"/>
      <c r="BI420" s="287"/>
      <c r="BJ420" s="287"/>
      <c r="BK420" s="287"/>
      <c r="BL420" s="287"/>
      <c r="BM420" s="287"/>
      <c r="BN420" s="287"/>
      <c r="BO420" s="287"/>
      <c r="BP420" s="287"/>
      <c r="BQ420" s="287"/>
      <c r="BR420" s="287"/>
      <c r="BS420" s="287"/>
      <c r="BT420" s="287"/>
      <c r="BU420" s="287"/>
      <c r="BV420" s="287"/>
      <c r="BW420" s="287"/>
      <c r="BX420" s="287"/>
      <c r="BY420" s="287"/>
      <c r="BZ420" s="287"/>
      <c r="CA420" s="287"/>
      <c r="CB420" s="287"/>
      <c r="CC420" s="287"/>
      <c r="CD420" s="287"/>
      <c r="CE420" s="287"/>
      <c r="CF420" s="287"/>
      <c r="CG420" s="287"/>
      <c r="CH420" s="287"/>
      <c r="CI420" s="287"/>
      <c r="CJ420" s="287"/>
      <c r="CK420" s="287"/>
      <c r="CL420" s="287"/>
      <c r="CM420" s="287"/>
      <c r="CN420" s="287"/>
      <c r="CO420" s="287"/>
      <c r="CP420" s="287"/>
      <c r="CQ420" s="287"/>
      <c r="CR420" s="287"/>
      <c r="CS420" s="287"/>
      <c r="CT420" s="287"/>
      <c r="CU420" s="287"/>
      <c r="CV420" s="287"/>
      <c r="CW420" s="287"/>
      <c r="CX420" s="287"/>
      <c r="CY420" s="287"/>
      <c r="CZ420" s="287"/>
      <c r="DA420" s="287"/>
      <c r="DB420" s="287"/>
      <c r="DC420" s="287"/>
      <c r="DD420" s="287"/>
      <c r="DE420" s="287"/>
      <c r="DF420" s="287"/>
      <c r="DG420" s="287"/>
      <c r="DH420" s="287"/>
      <c r="DI420" s="287"/>
      <c r="DJ420" s="287"/>
      <c r="DK420" s="287"/>
      <c r="DL420" s="287"/>
      <c r="DM420" s="287"/>
      <c r="DN420" s="287"/>
      <c r="DO420" s="287"/>
      <c r="DP420" s="287"/>
    </row>
    <row r="421" spans="1:120" s="287" customFormat="1" ht="8.25" customHeight="1" x14ac:dyDescent="0.25">
      <c r="A421" s="521"/>
      <c r="C421" s="522"/>
      <c r="D421" s="522"/>
      <c r="E421" s="522"/>
      <c r="F421" s="522"/>
      <c r="G421" s="522"/>
      <c r="P421" s="521"/>
    </row>
    <row r="422" spans="1:120" s="287" customFormat="1" ht="8.25" customHeight="1" x14ac:dyDescent="0.25">
      <c r="A422" s="521"/>
      <c r="C422" s="526"/>
      <c r="O422" s="527" t="str">
        <f>IF(P422=1, "&lt;===", "")</f>
        <v/>
      </c>
      <c r="P422" s="528"/>
    </row>
    <row r="423" spans="1:120" s="287" customFormat="1" ht="18" customHeight="1" x14ac:dyDescent="0.25">
      <c r="A423" s="521"/>
      <c r="C423" s="746"/>
      <c r="D423" s="746"/>
      <c r="E423" s="746"/>
      <c r="F423" s="501"/>
      <c r="O423" s="496"/>
      <c r="P423" s="267"/>
    </row>
    <row r="424" spans="1:120" s="287" customFormat="1" ht="6" customHeight="1" x14ac:dyDescent="0.25">
      <c r="A424" s="521"/>
      <c r="C424" s="522"/>
      <c r="D424" s="522"/>
      <c r="E424" s="522"/>
      <c r="F424" s="522"/>
      <c r="G424" s="522"/>
      <c r="O424" s="529"/>
      <c r="P424" s="528"/>
    </row>
    <row r="425" spans="1:120" s="427" customFormat="1" x14ac:dyDescent="0.25">
      <c r="A425" s="13"/>
      <c r="P425" s="3"/>
      <c r="BA425" s="287"/>
      <c r="BB425" s="287"/>
      <c r="BC425" s="287"/>
      <c r="BD425" s="287"/>
      <c r="BE425" s="287"/>
      <c r="BF425" s="287"/>
      <c r="BG425" s="287"/>
      <c r="BH425" s="287"/>
      <c r="BI425" s="287"/>
      <c r="BJ425" s="287"/>
      <c r="BK425" s="287"/>
      <c r="BL425" s="287"/>
      <c r="BM425" s="287"/>
      <c r="BN425" s="287"/>
      <c r="BO425" s="287"/>
      <c r="BP425" s="287"/>
      <c r="BQ425" s="287"/>
      <c r="BR425" s="287"/>
      <c r="BS425" s="287"/>
      <c r="BT425" s="287"/>
      <c r="BU425" s="287"/>
      <c r="BV425" s="287"/>
      <c r="BW425" s="287"/>
      <c r="BX425" s="287"/>
      <c r="BY425" s="287"/>
      <c r="BZ425" s="287"/>
      <c r="CA425" s="287"/>
      <c r="CB425" s="287"/>
      <c r="CC425" s="287"/>
      <c r="CD425" s="287"/>
      <c r="CE425" s="287"/>
      <c r="CF425" s="287"/>
      <c r="CG425" s="287"/>
      <c r="CH425" s="287"/>
      <c r="CI425" s="287"/>
      <c r="CJ425" s="287"/>
      <c r="CK425" s="287"/>
      <c r="CL425" s="287"/>
      <c r="CM425" s="287"/>
      <c r="CN425" s="287"/>
      <c r="CO425" s="287"/>
      <c r="CP425" s="287"/>
      <c r="CQ425" s="287"/>
      <c r="CR425" s="287"/>
      <c r="CS425" s="287"/>
      <c r="CT425" s="287"/>
      <c r="CU425" s="287"/>
      <c r="CV425" s="287"/>
      <c r="CW425" s="287"/>
      <c r="CX425" s="287"/>
      <c r="CY425" s="287"/>
      <c r="CZ425" s="287"/>
      <c r="DA425" s="287"/>
      <c r="DB425" s="287"/>
      <c r="DC425" s="287"/>
      <c r="DD425" s="287"/>
      <c r="DE425" s="287"/>
      <c r="DF425" s="287"/>
      <c r="DG425" s="287"/>
      <c r="DH425" s="287"/>
      <c r="DI425" s="287"/>
      <c r="DJ425" s="287"/>
      <c r="DK425" s="287"/>
      <c r="DL425" s="287"/>
      <c r="DM425" s="287"/>
      <c r="DN425" s="287"/>
      <c r="DO425" s="287"/>
      <c r="DP425" s="287"/>
    </row>
    <row r="426" spans="1:120" s="99" customFormat="1" ht="59.25" customHeight="1" x14ac:dyDescent="0.25">
      <c r="A426" s="13"/>
      <c r="C426" s="763" t="str">
        <f>"Did the program enroll a cohort(s) in each of the calendar years listed:                                                           
                                         "&amp;D4-1&amp;", "&amp;D4&amp;", "&amp;D4+1&amp;""</f>
        <v>Did the program enroll a cohort(s) in each of the calendar years listed:                                                           
                                         2021, 2022, 2023</v>
      </c>
      <c r="D426" s="763"/>
      <c r="E426" s="763"/>
      <c r="F426" s="764"/>
      <c r="G426" s="344" t="s">
        <v>23</v>
      </c>
      <c r="H426" s="245"/>
      <c r="I426" s="462"/>
      <c r="J426" s="245"/>
      <c r="K426" s="245"/>
      <c r="L426" s="245"/>
      <c r="M426" s="245"/>
      <c r="N426" s="245"/>
      <c r="O426" s="339" t="str">
        <f>IF(P426=1, "&lt;===", "")</f>
        <v/>
      </c>
      <c r="P426" s="364" t="str">
        <f>IF(AND(G426="Please Select",D432&lt;&gt;""),1,"")</f>
        <v/>
      </c>
      <c r="Q426" s="244"/>
      <c r="R426" s="3" t="s">
        <v>58</v>
      </c>
      <c r="S426" s="3">
        <f>IF(OR(G208="Please Select",G208="Yes"),67,67)</f>
        <v>67</v>
      </c>
      <c r="T426" s="200"/>
      <c r="BA426" s="287"/>
      <c r="BB426" s="287"/>
      <c r="BC426" s="287"/>
      <c r="BD426" s="287"/>
      <c r="BE426" s="287"/>
      <c r="BF426" s="287"/>
      <c r="BG426" s="287"/>
      <c r="BH426" s="287"/>
      <c r="BI426" s="287"/>
      <c r="BJ426" s="287"/>
      <c r="BK426" s="287"/>
      <c r="BL426" s="287"/>
      <c r="BM426" s="287"/>
      <c r="BN426" s="287"/>
      <c r="BO426" s="287"/>
      <c r="BP426" s="287"/>
      <c r="BQ426" s="287"/>
      <c r="BR426" s="287"/>
      <c r="BS426" s="287"/>
      <c r="BT426" s="287"/>
      <c r="BU426" s="287"/>
      <c r="BV426" s="287"/>
      <c r="BW426" s="287"/>
      <c r="BX426" s="287"/>
      <c r="BY426" s="287"/>
      <c r="BZ426" s="287"/>
      <c r="CA426" s="287"/>
      <c r="CB426" s="287"/>
      <c r="CC426" s="287"/>
      <c r="CD426" s="287"/>
      <c r="CE426" s="287"/>
      <c r="CF426" s="287"/>
      <c r="CG426" s="287"/>
      <c r="CH426" s="287"/>
      <c r="CI426" s="287"/>
      <c r="CJ426" s="287"/>
      <c r="CK426" s="287"/>
      <c r="CL426" s="287"/>
      <c r="CM426" s="287"/>
      <c r="CN426" s="287"/>
      <c r="CO426" s="287"/>
      <c r="CP426" s="287"/>
      <c r="CQ426" s="287"/>
      <c r="CR426" s="287"/>
      <c r="CS426" s="287"/>
      <c r="CT426" s="287"/>
      <c r="CU426" s="287"/>
      <c r="CV426" s="287"/>
      <c r="CW426" s="287"/>
      <c r="CX426" s="287"/>
      <c r="CY426" s="287"/>
      <c r="CZ426" s="287"/>
      <c r="DA426" s="287"/>
      <c r="DB426" s="287"/>
      <c r="DC426" s="287"/>
      <c r="DD426" s="287"/>
      <c r="DE426" s="287"/>
      <c r="DF426" s="287"/>
      <c r="DG426" s="287"/>
      <c r="DH426" s="287"/>
      <c r="DI426" s="287"/>
      <c r="DJ426" s="287"/>
      <c r="DK426" s="287"/>
      <c r="DL426" s="287"/>
      <c r="DM426" s="287"/>
      <c r="DN426" s="287"/>
      <c r="DO426" s="287"/>
      <c r="DP426" s="287"/>
    </row>
    <row r="427" spans="1:120" s="99" customFormat="1" ht="5.25" customHeight="1" x14ac:dyDescent="0.25">
      <c r="A427" s="13"/>
      <c r="C427" s="123"/>
      <c r="D427" s="123"/>
      <c r="E427" s="123"/>
      <c r="F427" s="123"/>
      <c r="P427" s="3"/>
      <c r="R427" s="200"/>
      <c r="S427" s="200"/>
      <c r="T427" s="200"/>
      <c r="BA427" s="287"/>
      <c r="BB427" s="287"/>
      <c r="BC427" s="287"/>
      <c r="BD427" s="287"/>
      <c r="BE427" s="287"/>
      <c r="BF427" s="287"/>
      <c r="BG427" s="287"/>
      <c r="BH427" s="287"/>
      <c r="BI427" s="287"/>
      <c r="BJ427" s="287"/>
      <c r="BK427" s="287"/>
      <c r="BL427" s="287"/>
      <c r="BM427" s="287"/>
      <c r="BN427" s="287"/>
      <c r="BO427" s="287"/>
      <c r="BP427" s="287"/>
      <c r="BQ427" s="287"/>
      <c r="BR427" s="287"/>
      <c r="BS427" s="287"/>
      <c r="BT427" s="287"/>
      <c r="BU427" s="287"/>
      <c r="BV427" s="287"/>
      <c r="BW427" s="287"/>
      <c r="BX427" s="287"/>
      <c r="BY427" s="287"/>
      <c r="BZ427" s="287"/>
      <c r="CA427" s="287"/>
      <c r="CB427" s="287"/>
      <c r="CC427" s="287"/>
      <c r="CD427" s="287"/>
      <c r="CE427" s="287"/>
      <c r="CF427" s="287"/>
      <c r="CG427" s="287"/>
      <c r="CH427" s="287"/>
      <c r="CI427" s="287"/>
      <c r="CJ427" s="287"/>
      <c r="CK427" s="287"/>
      <c r="CL427" s="287"/>
      <c r="CM427" s="287"/>
      <c r="CN427" s="287"/>
      <c r="CO427" s="287"/>
      <c r="CP427" s="287"/>
      <c r="CQ427" s="287"/>
      <c r="CR427" s="287"/>
      <c r="CS427" s="287"/>
      <c r="CT427" s="287"/>
      <c r="CU427" s="287"/>
      <c r="CV427" s="287"/>
      <c r="CW427" s="287"/>
      <c r="CX427" s="287"/>
      <c r="CY427" s="287"/>
      <c r="CZ427" s="287"/>
      <c r="DA427" s="287"/>
      <c r="DB427" s="287"/>
      <c r="DC427" s="287"/>
      <c r="DD427" s="287"/>
      <c r="DE427" s="287"/>
      <c r="DF427" s="287"/>
      <c r="DG427" s="287"/>
      <c r="DH427" s="287"/>
      <c r="DI427" s="287"/>
      <c r="DJ427" s="287"/>
      <c r="DK427" s="287"/>
      <c r="DL427" s="287"/>
      <c r="DM427" s="287"/>
      <c r="DN427" s="287"/>
      <c r="DO427" s="287"/>
      <c r="DP427" s="287"/>
    </row>
    <row r="428" spans="1:120" s="99" customFormat="1" ht="22.5" customHeight="1" x14ac:dyDescent="0.25">
      <c r="A428" s="13"/>
      <c r="C428" s="762" t="str">
        <f>IF(G426="No","      List the year(s) from the above list that students were not enrolled:","")</f>
        <v/>
      </c>
      <c r="D428" s="762"/>
      <c r="E428" s="762"/>
      <c r="F428" s="762"/>
      <c r="G428" s="733"/>
      <c r="H428" s="733"/>
      <c r="I428" s="733"/>
      <c r="J428" s="338"/>
      <c r="K428" s="338"/>
      <c r="L428" s="338"/>
      <c r="M428" s="338"/>
      <c r="O428" s="214" t="str">
        <f>IF(P428=1, "&lt;===", "")</f>
        <v/>
      </c>
      <c r="P428" s="364" t="str">
        <f>IF(AND(G426="No",G428="",D432&lt;&gt;""),1,"")</f>
        <v/>
      </c>
      <c r="R428" s="200"/>
      <c r="S428" s="200"/>
      <c r="T428" s="200"/>
      <c r="BA428" s="287"/>
      <c r="BB428" s="287"/>
      <c r="BC428" s="287"/>
      <c r="BD428" s="287"/>
      <c r="BE428" s="287"/>
      <c r="BF428" s="287"/>
      <c r="BG428" s="287"/>
      <c r="BH428" s="287"/>
      <c r="BI428" s="287"/>
      <c r="BJ428" s="287"/>
      <c r="BK428" s="287"/>
      <c r="BL428" s="287"/>
      <c r="BM428" s="287"/>
      <c r="BN428" s="287"/>
      <c r="BO428" s="287"/>
      <c r="BP428" s="287"/>
      <c r="BQ428" s="287"/>
      <c r="BR428" s="287"/>
      <c r="BS428" s="287"/>
      <c r="BT428" s="287"/>
      <c r="BU428" s="287"/>
      <c r="BV428" s="287"/>
      <c r="BW428" s="287"/>
      <c r="BX428" s="287"/>
      <c r="BY428" s="287"/>
      <c r="BZ428" s="287"/>
      <c r="CA428" s="287"/>
      <c r="CB428" s="287"/>
      <c r="CC428" s="287"/>
      <c r="CD428" s="287"/>
      <c r="CE428" s="287"/>
      <c r="CF428" s="287"/>
      <c r="CG428" s="287"/>
      <c r="CH428" s="287"/>
      <c r="CI428" s="287"/>
      <c r="CJ428" s="287"/>
      <c r="CK428" s="287"/>
      <c r="CL428" s="287"/>
      <c r="CM428" s="287"/>
      <c r="CN428" s="287"/>
      <c r="CO428" s="287"/>
      <c r="CP428" s="287"/>
      <c r="CQ428" s="287"/>
      <c r="CR428" s="287"/>
      <c r="CS428" s="287"/>
      <c r="CT428" s="287"/>
      <c r="CU428" s="287"/>
      <c r="CV428" s="287"/>
      <c r="CW428" s="287"/>
      <c r="CX428" s="287"/>
      <c r="CY428" s="287"/>
      <c r="CZ428" s="287"/>
      <c r="DA428" s="287"/>
      <c r="DB428" s="287"/>
      <c r="DC428" s="287"/>
      <c r="DD428" s="287"/>
      <c r="DE428" s="287"/>
      <c r="DF428" s="287"/>
      <c r="DG428" s="287"/>
      <c r="DH428" s="287"/>
      <c r="DI428" s="287"/>
      <c r="DJ428" s="287"/>
      <c r="DK428" s="287"/>
      <c r="DL428" s="287"/>
      <c r="DM428" s="287"/>
      <c r="DN428" s="287"/>
      <c r="DO428" s="287"/>
      <c r="DP428" s="287"/>
    </row>
    <row r="429" spans="1:120" s="229" customFormat="1" x14ac:dyDescent="0.25">
      <c r="A429" s="13"/>
      <c r="M429" s="338"/>
      <c r="P429" s="3"/>
      <c r="BA429" s="287"/>
      <c r="BB429" s="287"/>
      <c r="BC429" s="287"/>
      <c r="BD429" s="287"/>
      <c r="BE429" s="287"/>
      <c r="BF429" s="287"/>
      <c r="BG429" s="287"/>
      <c r="BH429" s="287"/>
      <c r="BI429" s="287"/>
      <c r="BJ429" s="287"/>
      <c r="BK429" s="287"/>
      <c r="BL429" s="287"/>
      <c r="BM429" s="287"/>
      <c r="BN429" s="287"/>
      <c r="BO429" s="287"/>
      <c r="BP429" s="287"/>
      <c r="BQ429" s="287"/>
      <c r="BR429" s="287"/>
      <c r="BS429" s="287"/>
      <c r="BT429" s="287"/>
      <c r="BU429" s="287"/>
      <c r="BV429" s="287"/>
      <c r="BW429" s="287"/>
      <c r="BX429" s="287"/>
      <c r="BY429" s="287"/>
      <c r="BZ429" s="287"/>
      <c r="CA429" s="287"/>
      <c r="CB429" s="287"/>
      <c r="CC429" s="287"/>
      <c r="CD429" s="287"/>
      <c r="CE429" s="287"/>
      <c r="CF429" s="287"/>
      <c r="CG429" s="287"/>
      <c r="CH429" s="287"/>
      <c r="CI429" s="287"/>
      <c r="CJ429" s="287"/>
      <c r="CK429" s="287"/>
      <c r="CL429" s="287"/>
      <c r="CM429" s="287"/>
      <c r="CN429" s="287"/>
      <c r="CO429" s="287"/>
      <c r="CP429" s="287"/>
      <c r="CQ429" s="287"/>
      <c r="CR429" s="287"/>
      <c r="CS429" s="287"/>
      <c r="CT429" s="287"/>
      <c r="CU429" s="287"/>
      <c r="CV429" s="287"/>
      <c r="CW429" s="287"/>
      <c r="CX429" s="287"/>
      <c r="CY429" s="287"/>
      <c r="CZ429" s="287"/>
      <c r="DA429" s="287"/>
      <c r="DB429" s="287"/>
      <c r="DC429" s="287"/>
      <c r="DD429" s="287"/>
      <c r="DE429" s="287"/>
      <c r="DF429" s="287"/>
      <c r="DG429" s="287"/>
      <c r="DH429" s="287"/>
      <c r="DI429" s="287"/>
      <c r="DJ429" s="287"/>
      <c r="DK429" s="287"/>
      <c r="DL429" s="287"/>
      <c r="DM429" s="287"/>
      <c r="DN429" s="287"/>
      <c r="DO429" s="287"/>
      <c r="DP429" s="287"/>
    </row>
    <row r="430" spans="1:120" s="176" customFormat="1" ht="49.5" customHeight="1" x14ac:dyDescent="0.25">
      <c r="A430" s="13"/>
      <c r="B430" s="183"/>
      <c r="C430" s="184" t="s">
        <v>23</v>
      </c>
      <c r="D430" s="718" t="s">
        <v>140</v>
      </c>
      <c r="E430" s="718"/>
      <c r="F430" s="718"/>
      <c r="G430" s="718"/>
      <c r="H430" s="718"/>
      <c r="I430" s="718"/>
      <c r="J430" s="718"/>
      <c r="O430" s="339" t="str">
        <f>IF(P430=1, "&lt;===", "")</f>
        <v/>
      </c>
      <c r="P430" s="364" t="str">
        <f>IF(AND(C430="Please Select",D432&lt;&gt;""), 1, "")</f>
        <v/>
      </c>
      <c r="BA430" s="287"/>
      <c r="BB430" s="287"/>
      <c r="BC430" s="287"/>
      <c r="BD430" s="287"/>
      <c r="BE430" s="287"/>
      <c r="BF430" s="287"/>
      <c r="BG430" s="287"/>
      <c r="BH430" s="287"/>
      <c r="BI430" s="287"/>
      <c r="BJ430" s="287"/>
      <c r="BK430" s="287"/>
      <c r="BL430" s="287"/>
      <c r="BM430" s="287"/>
      <c r="BN430" s="287"/>
      <c r="BO430" s="287"/>
      <c r="BP430" s="287"/>
      <c r="BQ430" s="287"/>
      <c r="BR430" s="287"/>
      <c r="BS430" s="287"/>
      <c r="BT430" s="287"/>
      <c r="BU430" s="287"/>
      <c r="BV430" s="287"/>
      <c r="BW430" s="287"/>
      <c r="BX430" s="287"/>
      <c r="BY430" s="287"/>
      <c r="BZ430" s="287"/>
      <c r="CA430" s="287"/>
      <c r="CB430" s="287"/>
      <c r="CC430" s="287"/>
      <c r="CD430" s="287"/>
      <c r="CE430" s="287"/>
      <c r="CF430" s="287"/>
      <c r="CG430" s="287"/>
      <c r="CH430" s="287"/>
      <c r="CI430" s="287"/>
      <c r="CJ430" s="287"/>
      <c r="CK430" s="287"/>
      <c r="CL430" s="287"/>
      <c r="CM430" s="287"/>
      <c r="CN430" s="287"/>
      <c r="CO430" s="287"/>
      <c r="CP430" s="287"/>
      <c r="CQ430" s="287"/>
      <c r="CR430" s="287"/>
      <c r="CS430" s="287"/>
      <c r="CT430" s="287"/>
      <c r="CU430" s="287"/>
      <c r="CV430" s="287"/>
      <c r="CW430" s="287"/>
      <c r="CX430" s="287"/>
      <c r="CY430" s="287"/>
      <c r="CZ430" s="287"/>
      <c r="DA430" s="287"/>
      <c r="DB430" s="287"/>
      <c r="DC430" s="287"/>
      <c r="DD430" s="287"/>
      <c r="DE430" s="287"/>
      <c r="DF430" s="287"/>
      <c r="DG430" s="287"/>
      <c r="DH430" s="287"/>
      <c r="DI430" s="287"/>
      <c r="DJ430" s="287"/>
      <c r="DK430" s="287"/>
      <c r="DL430" s="287"/>
      <c r="DM430" s="287"/>
      <c r="DN430" s="287"/>
      <c r="DO430" s="287"/>
      <c r="DP430" s="287"/>
    </row>
    <row r="431" spans="1:120" s="176" customFormat="1" x14ac:dyDescent="0.25">
      <c r="A431" s="13"/>
      <c r="C431" s="725" t="s">
        <v>46</v>
      </c>
      <c r="D431" s="725"/>
      <c r="E431" s="725"/>
      <c r="F431" s="725"/>
      <c r="P431" s="3"/>
      <c r="BA431" s="287"/>
      <c r="BB431" s="287"/>
      <c r="BC431" s="287"/>
      <c r="BD431" s="287"/>
      <c r="BE431" s="287"/>
      <c r="BF431" s="287"/>
      <c r="BG431" s="287"/>
      <c r="BH431" s="287"/>
      <c r="BI431" s="287"/>
      <c r="BJ431" s="287"/>
      <c r="BK431" s="287"/>
      <c r="BL431" s="287"/>
      <c r="BM431" s="287"/>
      <c r="BN431" s="287"/>
      <c r="BO431" s="287"/>
      <c r="BP431" s="287"/>
      <c r="BQ431" s="287"/>
      <c r="BR431" s="287"/>
      <c r="BS431" s="287"/>
      <c r="BT431" s="287"/>
      <c r="BU431" s="287"/>
      <c r="BV431" s="287"/>
      <c r="BW431" s="287"/>
      <c r="BX431" s="287"/>
      <c r="BY431" s="287"/>
      <c r="BZ431" s="287"/>
      <c r="CA431" s="287"/>
      <c r="CB431" s="287"/>
      <c r="CC431" s="287"/>
      <c r="CD431" s="287"/>
      <c r="CE431" s="287"/>
      <c r="CF431" s="287"/>
      <c r="CG431" s="287"/>
      <c r="CH431" s="287"/>
      <c r="CI431" s="287"/>
      <c r="CJ431" s="287"/>
      <c r="CK431" s="287"/>
      <c r="CL431" s="287"/>
      <c r="CM431" s="287"/>
      <c r="CN431" s="287"/>
      <c r="CO431" s="287"/>
      <c r="CP431" s="287"/>
      <c r="CQ431" s="287"/>
      <c r="CR431" s="287"/>
      <c r="CS431" s="287"/>
      <c r="CT431" s="287"/>
      <c r="CU431" s="287"/>
      <c r="CV431" s="287"/>
      <c r="CW431" s="287"/>
      <c r="CX431" s="287"/>
      <c r="CY431" s="287"/>
      <c r="CZ431" s="287"/>
      <c r="DA431" s="287"/>
      <c r="DB431" s="287"/>
      <c r="DC431" s="287"/>
      <c r="DD431" s="287"/>
      <c r="DE431" s="287"/>
      <c r="DF431" s="287"/>
      <c r="DG431" s="287"/>
      <c r="DH431" s="287"/>
      <c r="DI431" s="287"/>
      <c r="DJ431" s="287"/>
      <c r="DK431" s="287"/>
      <c r="DL431" s="287"/>
      <c r="DM431" s="287"/>
      <c r="DN431" s="287"/>
      <c r="DO431" s="287"/>
      <c r="DP431" s="287"/>
    </row>
    <row r="432" spans="1:120" s="176" customFormat="1" x14ac:dyDescent="0.25">
      <c r="A432" s="13"/>
      <c r="C432" s="176" t="s">
        <v>60</v>
      </c>
      <c r="D432" s="717"/>
      <c r="E432" s="717"/>
      <c r="P432" s="3"/>
      <c r="BA432" s="287"/>
      <c r="BB432" s="287"/>
      <c r="BC432" s="287"/>
      <c r="BD432" s="287"/>
      <c r="BE432" s="287"/>
      <c r="BF432" s="287"/>
      <c r="BG432" s="287"/>
      <c r="BH432" s="287"/>
      <c r="BI432" s="287"/>
      <c r="BJ432" s="287"/>
      <c r="BK432" s="287"/>
      <c r="BL432" s="287"/>
      <c r="BM432" s="287"/>
      <c r="BN432" s="287"/>
      <c r="BO432" s="287"/>
      <c r="BP432" s="287"/>
      <c r="BQ432" s="287"/>
      <c r="BR432" s="287"/>
      <c r="BS432" s="287"/>
      <c r="BT432" s="287"/>
      <c r="BU432" s="287"/>
      <c r="BV432" s="287"/>
      <c r="BW432" s="287"/>
      <c r="BX432" s="287"/>
      <c r="BY432" s="287"/>
      <c r="BZ432" s="287"/>
      <c r="CA432" s="287"/>
      <c r="CB432" s="287"/>
      <c r="CC432" s="287"/>
      <c r="CD432" s="287"/>
      <c r="CE432" s="287"/>
      <c r="CF432" s="287"/>
      <c r="CG432" s="287"/>
      <c r="CH432" s="287"/>
      <c r="CI432" s="287"/>
      <c r="CJ432" s="287"/>
      <c r="CK432" s="287"/>
      <c r="CL432" s="287"/>
      <c r="CM432" s="287"/>
      <c r="CN432" s="287"/>
      <c r="CO432" s="287"/>
      <c r="CP432" s="287"/>
      <c r="CQ432" s="287"/>
      <c r="CR432" s="287"/>
      <c r="CS432" s="287"/>
      <c r="CT432" s="287"/>
      <c r="CU432" s="287"/>
      <c r="CV432" s="287"/>
      <c r="CW432" s="287"/>
      <c r="CX432" s="287"/>
      <c r="CY432" s="287"/>
      <c r="CZ432" s="287"/>
      <c r="DA432" s="287"/>
      <c r="DB432" s="287"/>
      <c r="DC432" s="287"/>
      <c r="DD432" s="287"/>
      <c r="DE432" s="287"/>
      <c r="DF432" s="287"/>
      <c r="DG432" s="287"/>
      <c r="DH432" s="287"/>
      <c r="DI432" s="287"/>
      <c r="DJ432" s="287"/>
      <c r="DK432" s="287"/>
      <c r="DL432" s="287"/>
      <c r="DM432" s="287"/>
      <c r="DN432" s="287"/>
      <c r="DO432" s="287"/>
      <c r="DP432" s="287"/>
    </row>
    <row r="433" spans="1:120" s="176" customFormat="1" x14ac:dyDescent="0.25">
      <c r="A433" s="13"/>
      <c r="C433" s="176" t="s">
        <v>47</v>
      </c>
      <c r="D433" s="290"/>
      <c r="E433" s="196" t="s">
        <v>48</v>
      </c>
      <c r="P433" s="3"/>
      <c r="BA433" s="287"/>
      <c r="BB433" s="287"/>
      <c r="BC433" s="287"/>
      <c r="BD433" s="287"/>
      <c r="BE433" s="287"/>
      <c r="BF433" s="287"/>
      <c r="BG433" s="287"/>
      <c r="BH433" s="287"/>
      <c r="BI433" s="287"/>
      <c r="BJ433" s="287"/>
      <c r="BK433" s="287"/>
      <c r="BL433" s="287"/>
      <c r="BM433" s="287"/>
      <c r="BN433" s="287"/>
      <c r="BO433" s="287"/>
      <c r="BP433" s="287"/>
      <c r="BQ433" s="287"/>
      <c r="BR433" s="287"/>
      <c r="BS433" s="287"/>
      <c r="BT433" s="287"/>
      <c r="BU433" s="287"/>
      <c r="BV433" s="287"/>
      <c r="BW433" s="287"/>
      <c r="BX433" s="287"/>
      <c r="BY433" s="287"/>
      <c r="BZ433" s="287"/>
      <c r="CA433" s="287"/>
      <c r="CB433" s="287"/>
      <c r="CC433" s="287"/>
      <c r="CD433" s="287"/>
      <c r="CE433" s="287"/>
      <c r="CF433" s="287"/>
      <c r="CG433" s="287"/>
      <c r="CH433" s="287"/>
      <c r="CI433" s="287"/>
      <c r="CJ433" s="287"/>
      <c r="CK433" s="287"/>
      <c r="CL433" s="287"/>
      <c r="CM433" s="287"/>
      <c r="CN433" s="287"/>
      <c r="CO433" s="287"/>
      <c r="CP433" s="287"/>
      <c r="CQ433" s="287"/>
      <c r="CR433" s="287"/>
      <c r="CS433" s="287"/>
      <c r="CT433" s="287"/>
      <c r="CU433" s="287"/>
      <c r="CV433" s="287"/>
      <c r="CW433" s="287"/>
      <c r="CX433" s="287"/>
      <c r="CY433" s="287"/>
      <c r="CZ433" s="287"/>
      <c r="DA433" s="287"/>
      <c r="DB433" s="287"/>
      <c r="DC433" s="287"/>
      <c r="DD433" s="287"/>
      <c r="DE433" s="287"/>
      <c r="DF433" s="287"/>
      <c r="DG433" s="287"/>
      <c r="DH433" s="287"/>
      <c r="DI433" s="287"/>
      <c r="DJ433" s="287"/>
      <c r="DK433" s="287"/>
      <c r="DL433" s="287"/>
      <c r="DM433" s="287"/>
      <c r="DN433" s="287"/>
      <c r="DO433" s="287"/>
      <c r="DP433" s="287"/>
    </row>
    <row r="434" spans="1:120" x14ac:dyDescent="0.25">
      <c r="BA434" s="287"/>
      <c r="BB434" s="287"/>
      <c r="BC434" s="287"/>
      <c r="BD434" s="287"/>
      <c r="BE434" s="287"/>
      <c r="BF434" s="287"/>
      <c r="BG434" s="287"/>
      <c r="BH434" s="287"/>
      <c r="BI434" s="287"/>
      <c r="BJ434" s="287"/>
      <c r="BK434" s="287"/>
      <c r="BL434" s="287"/>
      <c r="BM434" s="287"/>
      <c r="BN434" s="287"/>
      <c r="BO434" s="287"/>
      <c r="BP434" s="287"/>
      <c r="BQ434" s="287"/>
      <c r="BR434" s="287"/>
      <c r="BS434" s="287"/>
      <c r="BT434" s="287"/>
      <c r="BU434" s="287"/>
      <c r="BV434" s="287"/>
      <c r="BW434" s="287"/>
      <c r="BX434" s="287"/>
      <c r="BY434" s="287"/>
      <c r="BZ434" s="287"/>
      <c r="CA434" s="287"/>
      <c r="CB434" s="287"/>
      <c r="CC434" s="287"/>
      <c r="CD434" s="287"/>
      <c r="CE434" s="287"/>
      <c r="CF434" s="287"/>
      <c r="CG434" s="287"/>
      <c r="CH434" s="287"/>
      <c r="CI434" s="287"/>
      <c r="CJ434" s="287"/>
      <c r="CK434" s="287"/>
      <c r="CL434" s="287"/>
      <c r="CM434" s="287"/>
      <c r="CN434" s="287"/>
      <c r="CO434" s="287"/>
      <c r="CP434" s="287"/>
      <c r="CQ434" s="287"/>
      <c r="CR434" s="287"/>
      <c r="CS434" s="287"/>
      <c r="CT434" s="287"/>
      <c r="CU434" s="287"/>
      <c r="CV434" s="287"/>
      <c r="CW434" s="287"/>
      <c r="CX434" s="287"/>
      <c r="CY434" s="287"/>
      <c r="CZ434" s="287"/>
      <c r="DA434" s="287"/>
      <c r="DB434" s="287"/>
      <c r="DC434" s="287"/>
      <c r="DD434" s="287"/>
      <c r="DE434" s="287"/>
      <c r="DF434" s="287"/>
      <c r="DG434" s="287"/>
      <c r="DH434" s="287"/>
      <c r="DI434" s="287"/>
      <c r="DJ434" s="287"/>
      <c r="DK434" s="287"/>
      <c r="DL434" s="287"/>
      <c r="DM434" s="287"/>
      <c r="DN434" s="287"/>
      <c r="DO434" s="287"/>
      <c r="DP434" s="287"/>
    </row>
    <row r="435" spans="1:120" x14ac:dyDescent="0.25">
      <c r="BA435" s="287"/>
      <c r="BB435" s="287"/>
      <c r="BC435" s="287"/>
      <c r="BD435" s="287"/>
      <c r="BE435" s="287"/>
      <c r="BF435" s="287"/>
      <c r="BG435" s="287"/>
      <c r="BH435" s="287"/>
      <c r="BI435" s="287"/>
      <c r="BJ435" s="287"/>
      <c r="BK435" s="287"/>
      <c r="BL435" s="287"/>
      <c r="BM435" s="287"/>
      <c r="BN435" s="287"/>
      <c r="BO435" s="287"/>
      <c r="BP435" s="287"/>
      <c r="BQ435" s="287"/>
      <c r="BR435" s="287"/>
      <c r="BS435" s="287"/>
      <c r="BT435" s="287"/>
      <c r="BU435" s="287"/>
      <c r="BV435" s="287"/>
      <c r="BW435" s="287"/>
      <c r="BX435" s="287"/>
      <c r="BY435" s="287"/>
      <c r="BZ435" s="287"/>
      <c r="CA435" s="287"/>
      <c r="CB435" s="287"/>
      <c r="CC435" s="287"/>
      <c r="CD435" s="287"/>
      <c r="CE435" s="287"/>
      <c r="CF435" s="287"/>
      <c r="CG435" s="287"/>
      <c r="CH435" s="287"/>
      <c r="CI435" s="287"/>
      <c r="CJ435" s="287"/>
      <c r="CK435" s="287"/>
      <c r="CL435" s="287"/>
      <c r="CM435" s="287"/>
      <c r="CN435" s="287"/>
      <c r="CO435" s="287"/>
      <c r="CP435" s="287"/>
      <c r="CQ435" s="287"/>
      <c r="CR435" s="287"/>
      <c r="CS435" s="287"/>
      <c r="CT435" s="287"/>
      <c r="CU435" s="287"/>
      <c r="CV435" s="287"/>
      <c r="CW435" s="287"/>
      <c r="CX435" s="287"/>
      <c r="CY435" s="287"/>
      <c r="CZ435" s="287"/>
      <c r="DA435" s="287"/>
      <c r="DB435" s="287"/>
      <c r="DC435" s="287"/>
      <c r="DD435" s="287"/>
      <c r="DE435" s="287"/>
      <c r="DF435" s="287"/>
      <c r="DG435" s="287"/>
      <c r="DH435" s="287"/>
      <c r="DI435" s="287"/>
      <c r="DJ435" s="287"/>
      <c r="DK435" s="287"/>
      <c r="DL435" s="287"/>
      <c r="DM435" s="287"/>
      <c r="DN435" s="287"/>
      <c r="DO435" s="287"/>
      <c r="DP435" s="287"/>
    </row>
    <row r="436" spans="1:120" s="210" customFormat="1" ht="110.25" customHeight="1" x14ac:dyDescent="0.25">
      <c r="A436" s="13"/>
      <c r="D436" s="722" t="str">
        <f>IF(AND(D432&lt;&gt;"",'2022 Satellite(s)'!O11="",O436&lt;&gt;""),"There are items on the "&amp;D4&amp;" Annual Report tab that have not been answered.  Please review and complete all blank cells identified by this symbol [&lt;===].  This message will no longer appear once all required items have been answered.",IF(AND(D432&lt;&gt;"",'2022 Satellite(s)'!O11&lt;&gt;"",O436&lt;&gt;""),"There are items on both the "&amp;D4&amp;" Annual Report tab and the "&amp;D4&amp;" Satellite(s) tab that have not been answered.  "&amp;"Please review both tabs and complete all blank cells identified by this symbol [&lt;===].  This message will no longer appear once all required items have been answered.",IF(AND(D432&lt;&gt;"",'2022 Satellite(s)'!O11&lt;&gt;"",O436=""),"There are items on the "&amp;D4&amp;" Satellite(s) tab that have not been answered.  Please review and complete all blank cells identified by this symbol [&lt;===].  This message will no longer appear once all required items have been answered.","")))</f>
        <v/>
      </c>
      <c r="E436" s="722"/>
      <c r="F436" s="722"/>
      <c r="G436" s="722"/>
      <c r="H436" s="722"/>
      <c r="I436" s="722"/>
      <c r="J436" s="722"/>
      <c r="K436" s="722"/>
      <c r="L436" s="722"/>
      <c r="M436" s="722"/>
      <c r="N436" s="722"/>
      <c r="O436" s="364" t="str">
        <f>IF(AND(D432&lt;&gt;"", OR(O16&lt;&gt;"",O18&lt;&gt;"",O20&lt;&gt;"",O23&lt;&gt;"",O37&lt;&gt;"",O25&lt;&gt;"",O39&lt;&gt;"",O57&lt;&gt;"",O58&lt;&gt;"",O59&lt;&gt;"",O61&lt;&gt;"",O62&lt;&gt;"",O63&lt;&gt;"",O66&lt;&gt;"",O67&lt;&gt;"",O68&lt;&gt;"",O81&lt;&gt;"",N84&lt;&gt;"", O84&lt;&gt;"",O92&lt;&gt;"",O93&lt;&gt;"",O94&lt;&gt;"",O115&lt;&gt;"",O116&lt;&gt;"",O132&lt;&gt;"",O131&lt;&gt;"",O133&lt;&gt;"",O137&lt;&gt;"",O168&lt;&gt;"",O169&lt;&gt;"",O170&lt;&gt;"",O171&lt;&gt;"",O174&lt;&gt;"",O44&lt;&gt;"",O208&lt;&gt;"",O210&lt;&gt;"",H215&lt;&gt;"",H217&lt;&gt;"",H219&lt;&gt;"",H221&lt;&gt;"",H223&lt;&gt;"",O215&lt;&gt;"",O217&lt;&gt;"",O219&lt;&gt;"",O221&lt;&gt;"",O223&lt;&gt;"",AA54&lt;&gt;"",AA67&lt;&gt;"",AA87&lt;&gt;"",AA95&lt;&gt;"",AA110&lt;&gt;"",AA118&lt;&gt;"",O228&lt;&gt;"",O290&lt;&gt;"",O294&lt;&gt;"",O296&lt;&gt;"",O298&lt;&gt;"",O300&lt;&gt;"",O302&lt;&gt;"",O304&lt;&gt;"",O306&lt;&gt;"",O308&lt;&gt;"",O313&lt;&gt;"",O315&lt;&gt;"",O317&lt;&gt;"",O321&lt;&gt;"",O323&lt;&gt;"",O325&lt;&gt;"",O327&lt;&gt;"",O332&lt;&gt;"",O334&lt;&gt;"", O335&lt;&gt;"",O347&lt;&gt;"",O349&lt;&gt;"",O360&lt;&gt;"",O362&lt;&gt;"",O367&lt;&gt;"",O369&lt;&gt;"",O373&lt;&gt;"",O375&lt;&gt;"",O377&lt;&gt;"",O379&lt;&gt;"",O381&lt;&gt;"",O383&lt;&gt;"",O385&lt;&gt;"",O386&lt;&gt;"",O389&lt;&gt;"",O391&lt;&gt;"",O393&lt;&gt;"",O395&lt;&gt;"",O400&lt;&gt;"",O402&lt;&gt;"",O404&lt;&gt;"",O406&lt;&gt;"",O426&lt;&gt;"",O428&lt;&gt;"",O430&lt;&gt;"")),1,"")</f>
        <v/>
      </c>
      <c r="P436" s="3"/>
      <c r="BA436" s="287"/>
      <c r="BB436" s="287"/>
      <c r="BC436" s="287"/>
      <c r="BD436" s="287"/>
      <c r="BE436" s="287"/>
      <c r="BF436" s="287"/>
      <c r="BG436" s="287"/>
      <c r="BH436" s="287"/>
      <c r="BI436" s="287"/>
      <c r="BJ436" s="287"/>
      <c r="BK436" s="287"/>
      <c r="BL436" s="287"/>
      <c r="BM436" s="287"/>
      <c r="BN436" s="287"/>
      <c r="BO436" s="287"/>
      <c r="BP436" s="287"/>
      <c r="BQ436" s="287"/>
      <c r="BR436" s="287"/>
      <c r="BS436" s="287"/>
      <c r="BT436" s="287"/>
      <c r="BU436" s="287"/>
      <c r="BV436" s="287"/>
      <c r="BW436" s="287"/>
      <c r="BX436" s="287"/>
      <c r="BY436" s="287"/>
      <c r="BZ436" s="287"/>
      <c r="CA436" s="287"/>
      <c r="CB436" s="287"/>
      <c r="CC436" s="287"/>
      <c r="CD436" s="287"/>
      <c r="CE436" s="287"/>
      <c r="CF436" s="287"/>
      <c r="CG436" s="287"/>
      <c r="CH436" s="287"/>
      <c r="CI436" s="287"/>
      <c r="CJ436" s="287"/>
      <c r="CK436" s="287"/>
      <c r="CL436" s="287"/>
      <c r="CM436" s="287"/>
      <c r="CN436" s="287"/>
      <c r="CO436" s="287"/>
      <c r="CP436" s="287"/>
      <c r="CQ436" s="287"/>
      <c r="CR436" s="287"/>
      <c r="CS436" s="287"/>
      <c r="CT436" s="287"/>
      <c r="CU436" s="287"/>
      <c r="CV436" s="287"/>
      <c r="CW436" s="287"/>
      <c r="CX436" s="287"/>
      <c r="CY436" s="287"/>
      <c r="CZ436" s="287"/>
      <c r="DA436" s="287"/>
      <c r="DB436" s="287"/>
      <c r="DC436" s="287"/>
      <c r="DD436" s="287"/>
      <c r="DE436" s="287"/>
      <c r="DF436" s="287"/>
      <c r="DG436" s="287"/>
      <c r="DH436" s="287"/>
      <c r="DI436" s="287"/>
      <c r="DJ436" s="287"/>
      <c r="DK436" s="287"/>
      <c r="DL436" s="287"/>
      <c r="DM436" s="287"/>
      <c r="DN436" s="287"/>
      <c r="DO436" s="287"/>
      <c r="DP436" s="287"/>
    </row>
    <row r="437" spans="1:120" s="210" customFormat="1" x14ac:dyDescent="0.25">
      <c r="A437" s="13"/>
      <c r="P437" s="3"/>
      <c r="BV437" s="287"/>
      <c r="BW437" s="287"/>
      <c r="BX437" s="287"/>
      <c r="BY437" s="287"/>
      <c r="BZ437" s="287"/>
      <c r="CA437" s="287"/>
      <c r="CB437" s="287"/>
      <c r="CC437" s="287"/>
      <c r="CD437" s="287"/>
      <c r="CE437" s="287"/>
      <c r="CF437" s="287"/>
      <c r="CG437" s="287"/>
      <c r="CH437" s="287"/>
      <c r="CI437" s="287"/>
      <c r="CJ437" s="287"/>
      <c r="CK437" s="287"/>
      <c r="CL437" s="287"/>
      <c r="CM437" s="287"/>
      <c r="CN437" s="287"/>
      <c r="CO437" s="287"/>
      <c r="CP437" s="287"/>
      <c r="CQ437" s="287"/>
      <c r="CR437" s="287"/>
      <c r="CS437" s="287"/>
      <c r="CT437" s="287"/>
      <c r="CU437" s="287"/>
      <c r="CV437" s="287"/>
      <c r="CW437" s="287"/>
      <c r="CX437" s="287"/>
      <c r="CY437" s="287"/>
      <c r="CZ437" s="287"/>
      <c r="DA437" s="287"/>
      <c r="DB437" s="287"/>
      <c r="DC437" s="287"/>
      <c r="DD437" s="287"/>
      <c r="DE437" s="287"/>
      <c r="DF437" s="287"/>
      <c r="DG437" s="287"/>
      <c r="DH437" s="287"/>
      <c r="DI437" s="287"/>
      <c r="DJ437" s="287"/>
      <c r="DK437" s="287"/>
      <c r="DL437" s="287"/>
      <c r="DM437" s="287"/>
      <c r="DN437" s="287"/>
    </row>
    <row r="438" spans="1:120" ht="14.25" customHeight="1" x14ac:dyDescent="0.25">
      <c r="BV438" s="287"/>
      <c r="BW438" s="287"/>
      <c r="BX438" s="287"/>
      <c r="BY438" s="287"/>
      <c r="BZ438" s="287"/>
      <c r="CA438" s="287"/>
      <c r="CB438" s="287"/>
      <c r="CC438" s="287"/>
      <c r="CD438" s="287"/>
      <c r="CE438" s="287"/>
      <c r="CF438" s="287"/>
      <c r="CG438" s="287"/>
      <c r="CH438" s="287"/>
      <c r="CI438" s="287"/>
      <c r="CJ438" s="287"/>
      <c r="CK438" s="287"/>
      <c r="CL438" s="287"/>
      <c r="CM438" s="287"/>
      <c r="CN438" s="287"/>
      <c r="CO438" s="287"/>
      <c r="CP438" s="287"/>
      <c r="CQ438" s="287"/>
      <c r="CR438" s="287"/>
      <c r="CS438" s="287"/>
      <c r="CT438" s="287"/>
      <c r="CU438" s="287"/>
      <c r="CV438" s="287"/>
      <c r="CW438" s="287"/>
      <c r="CX438" s="287"/>
      <c r="CY438" s="287"/>
      <c r="CZ438" s="287"/>
      <c r="DA438" s="287"/>
      <c r="DB438" s="287"/>
      <c r="DC438" s="287"/>
      <c r="DD438" s="287"/>
      <c r="DE438" s="287"/>
      <c r="DF438" s="287"/>
      <c r="DG438" s="287"/>
      <c r="DH438" s="287"/>
      <c r="DI438" s="287"/>
      <c r="DJ438" s="287"/>
      <c r="DK438" s="287"/>
      <c r="DL438" s="287"/>
      <c r="DM438" s="287"/>
      <c r="DN438" s="287"/>
    </row>
    <row r="439" spans="1:120" ht="63" customHeight="1" x14ac:dyDescent="0.45">
      <c r="C439" s="734" t="str">
        <f>IF(D432&lt;&gt;"","Thank you for completing the "&amp;D4&amp;" Annual Report.  
Be sure to check your data then submit this completed template","")</f>
        <v/>
      </c>
      <c r="D439" s="734"/>
      <c r="E439" s="734"/>
      <c r="F439" s="734"/>
      <c r="G439" s="734"/>
      <c r="H439" s="734"/>
      <c r="I439" s="734"/>
      <c r="J439" s="734"/>
      <c r="K439" s="734"/>
      <c r="L439" s="734"/>
      <c r="M439" s="734"/>
      <c r="N439" s="734"/>
      <c r="BV439" s="287"/>
      <c r="BW439" s="287"/>
      <c r="BX439" s="287"/>
      <c r="BY439" s="287"/>
      <c r="BZ439" s="287"/>
      <c r="CA439" s="287"/>
      <c r="CB439" s="287"/>
      <c r="CC439" s="287"/>
      <c r="CD439" s="287"/>
      <c r="CE439" s="287"/>
      <c r="CF439" s="287"/>
      <c r="CG439" s="287"/>
      <c r="CH439" s="287"/>
      <c r="CI439" s="287"/>
      <c r="CJ439" s="287"/>
      <c r="CK439" s="287"/>
      <c r="CL439" s="287"/>
      <c r="CM439" s="287"/>
      <c r="CN439" s="287"/>
      <c r="CO439" s="287"/>
      <c r="CP439" s="287"/>
      <c r="CQ439" s="287"/>
      <c r="CR439" s="287"/>
      <c r="CS439" s="287"/>
      <c r="CT439" s="287"/>
      <c r="CU439" s="287"/>
      <c r="CV439" s="287"/>
      <c r="CW439" s="287"/>
      <c r="CX439" s="287"/>
      <c r="CY439" s="287"/>
      <c r="CZ439" s="287"/>
      <c r="DA439" s="287"/>
      <c r="DB439" s="287"/>
      <c r="DC439" s="287"/>
      <c r="DD439" s="287"/>
      <c r="DE439" s="287"/>
      <c r="DF439" s="287"/>
      <c r="DG439" s="287"/>
      <c r="DH439" s="287"/>
      <c r="DI439" s="287"/>
      <c r="DJ439" s="287"/>
      <c r="DK439" s="287"/>
      <c r="DL439" s="287"/>
      <c r="DM439" s="287"/>
      <c r="DN439" s="287"/>
    </row>
    <row r="440" spans="1:120" ht="28.5" x14ac:dyDescent="0.45">
      <c r="C440" s="748" t="str">
        <f>IF(D432&lt;&gt;"","no later than May 15, " &amp;D4+2 &amp; " by emailing annualreports@coaemsp.org","")</f>
        <v/>
      </c>
      <c r="D440" s="748"/>
      <c r="E440" s="748"/>
      <c r="F440" s="748"/>
      <c r="G440" s="748"/>
      <c r="H440" s="748"/>
      <c r="I440" s="748"/>
      <c r="J440" s="748"/>
      <c r="K440" s="748"/>
      <c r="L440" s="748"/>
      <c r="M440" s="748"/>
      <c r="N440" s="748"/>
      <c r="BV440" s="287"/>
      <c r="BW440" s="287"/>
      <c r="BX440" s="287"/>
      <c r="BY440" s="287"/>
      <c r="BZ440" s="287"/>
      <c r="CA440" s="287"/>
      <c r="CB440" s="287"/>
      <c r="CC440" s="287"/>
      <c r="CD440" s="287"/>
      <c r="CE440" s="287"/>
      <c r="CF440" s="287"/>
      <c r="CG440" s="287"/>
      <c r="CH440" s="287"/>
      <c r="CI440" s="287"/>
      <c r="CJ440" s="287"/>
      <c r="CK440" s="287"/>
      <c r="CL440" s="287"/>
      <c r="CM440" s="287"/>
      <c r="CN440" s="287"/>
      <c r="CO440" s="287"/>
      <c r="CP440" s="287"/>
      <c r="CQ440" s="287"/>
      <c r="CR440" s="287"/>
      <c r="CS440" s="287"/>
      <c r="CT440" s="287"/>
      <c r="CU440" s="287"/>
      <c r="CV440" s="287"/>
      <c r="CW440" s="287"/>
      <c r="CX440" s="287"/>
      <c r="CY440" s="287"/>
      <c r="CZ440" s="287"/>
      <c r="DA440" s="287"/>
      <c r="DB440" s="287"/>
      <c r="DC440" s="287"/>
      <c r="DD440" s="287"/>
      <c r="DE440" s="287"/>
      <c r="DF440" s="287"/>
      <c r="DG440" s="287"/>
      <c r="DH440" s="287"/>
      <c r="DI440" s="287"/>
      <c r="DJ440" s="287"/>
      <c r="DK440" s="287"/>
      <c r="DL440" s="287"/>
      <c r="DM440" s="287"/>
      <c r="DN440" s="287"/>
    </row>
  </sheetData>
  <sheetProtection algorithmName="SHA-512" hashValue="Q6zIjR6b1PIqxxP6sW4ZG0OwnddzPjZVBbCvHn7nkvw4m8y50aqAezm3fyCubliV6kp626uSPSCfbqlpcVdfTA==" saltValue="GLRobMcFa/zSHpMDi3oZ+Q==" spinCount="100000" sheet="1" formatRows="0" selectLockedCells="1"/>
  <customSheetViews>
    <customSheetView guid="{993DF57F-A792-4998-A444-891BBBD74251}" scale="110" showPageBreaks="1" printArea="1" topLeftCell="A55">
      <selection activeCell="F62" sqref="F62"/>
      <rowBreaks count="8" manualBreakCount="8">
        <brk id="42" max="68" man="1"/>
        <brk id="71" max="82" man="1"/>
        <brk id="93" max="82" man="1"/>
        <brk id="113" max="82" man="1"/>
        <brk id="148" max="82" man="1"/>
        <brk id="184" max="82" man="1"/>
        <brk id="228" max="16383" man="1"/>
        <brk id="287" max="82" man="1"/>
      </rowBreaks>
      <colBreaks count="6" manualBreakCount="6">
        <brk id="14" max="1048575" man="1"/>
        <brk id="33" min="42" max="70" man="1"/>
        <brk id="51" min="42" max="70" man="1"/>
        <brk id="69" max="1048575" man="1"/>
        <brk id="88" max="307" man="1"/>
        <brk id="106" max="307" man="1"/>
      </colBreaks>
      <pageMargins left="0.15" right="0.15" top="0.25" bottom="0.25" header="0" footer="0"/>
      <printOptions horizontalCentered="1" verticalCentered="1"/>
      <pageSetup scale="44" fitToHeight="0" pageOrder="overThenDown" orientation="landscape" r:id="rId1"/>
    </customSheetView>
  </customSheetViews>
  <mergeCells count="373">
    <mergeCell ref="D417:F417"/>
    <mergeCell ref="D419:F419"/>
    <mergeCell ref="C406:G406"/>
    <mergeCell ref="I409:M414"/>
    <mergeCell ref="D331:I331"/>
    <mergeCell ref="I335:L335"/>
    <mergeCell ref="D340:I340"/>
    <mergeCell ref="I347:L347"/>
    <mergeCell ref="D372:I372"/>
    <mergeCell ref="I386:L386"/>
    <mergeCell ref="C389:F389"/>
    <mergeCell ref="C390:F390"/>
    <mergeCell ref="C391:F391"/>
    <mergeCell ref="C369:F369"/>
    <mergeCell ref="D373:F373"/>
    <mergeCell ref="D375:F375"/>
    <mergeCell ref="C387:F387"/>
    <mergeCell ref="C370:F370"/>
    <mergeCell ref="C371:G371"/>
    <mergeCell ref="D377:F377"/>
    <mergeCell ref="D379:F379"/>
    <mergeCell ref="D381:F381"/>
    <mergeCell ref="D383:F383"/>
    <mergeCell ref="D385:F385"/>
    <mergeCell ref="C397:F397"/>
    <mergeCell ref="C393:F393"/>
    <mergeCell ref="C395:F395"/>
    <mergeCell ref="C398:G398"/>
    <mergeCell ref="C400:F400"/>
    <mergeCell ref="C401:F401"/>
    <mergeCell ref="C402:F402"/>
    <mergeCell ref="C403:F403"/>
    <mergeCell ref="C404:F404"/>
    <mergeCell ref="P30:V30"/>
    <mergeCell ref="B56:D56"/>
    <mergeCell ref="I37:N46"/>
    <mergeCell ref="R50:AA50"/>
    <mergeCell ref="P50:Q50"/>
    <mergeCell ref="D270:F270"/>
    <mergeCell ref="B205:N205"/>
    <mergeCell ref="J208:N208"/>
    <mergeCell ref="C210:F210"/>
    <mergeCell ref="D201:K201"/>
    <mergeCell ref="B206:N206"/>
    <mergeCell ref="B196:N196"/>
    <mergeCell ref="B167:D167"/>
    <mergeCell ref="I215:K215"/>
    <mergeCell ref="I217:K217"/>
    <mergeCell ref="I221:K221"/>
    <mergeCell ref="C212:F212"/>
    <mergeCell ref="B60:M60"/>
    <mergeCell ref="B65:M65"/>
    <mergeCell ref="R51:S51"/>
    <mergeCell ref="U51:Z51"/>
    <mergeCell ref="O155:Y155"/>
    <mergeCell ref="O149:Y149"/>
    <mergeCell ref="R163:AA163"/>
    <mergeCell ref="B58:C58"/>
    <mergeCell ref="R54:Z64"/>
    <mergeCell ref="R66:Z76"/>
    <mergeCell ref="AI71:AO76"/>
    <mergeCell ref="AI67:AJ67"/>
    <mergeCell ref="AR65:AX66"/>
    <mergeCell ref="AR67:AX76"/>
    <mergeCell ref="B70:D70"/>
    <mergeCell ref="B75:N75"/>
    <mergeCell ref="B69:D69"/>
    <mergeCell ref="AI65:AO66"/>
    <mergeCell ref="B54:N54"/>
    <mergeCell ref="B72:C72"/>
    <mergeCell ref="B73:D73"/>
    <mergeCell ref="B55:D55"/>
    <mergeCell ref="B74:N74"/>
    <mergeCell ref="CJ218:CJ219"/>
    <mergeCell ref="X218:X219"/>
    <mergeCell ref="AG218:AG219"/>
    <mergeCell ref="AQ243:AQ244"/>
    <mergeCell ref="O243:O244"/>
    <mergeCell ref="X243:X244"/>
    <mergeCell ref="AG243:AG244"/>
    <mergeCell ref="AZ243:AZ244"/>
    <mergeCell ref="BI243:BI244"/>
    <mergeCell ref="BR243:BR244"/>
    <mergeCell ref="CA243:CA244"/>
    <mergeCell ref="CJ243:CJ244"/>
    <mergeCell ref="AQ218:AQ219"/>
    <mergeCell ref="BR218:BR219"/>
    <mergeCell ref="AZ218:AZ219"/>
    <mergeCell ref="BI218:BI219"/>
    <mergeCell ref="CA218:CA219"/>
    <mergeCell ref="BJ68:BP76"/>
    <mergeCell ref="BJ54:BP54"/>
    <mergeCell ref="C440:N440"/>
    <mergeCell ref="I219:K219"/>
    <mergeCell ref="B156:D156"/>
    <mergeCell ref="C215:D215"/>
    <mergeCell ref="G212:H212"/>
    <mergeCell ref="G208:H208"/>
    <mergeCell ref="B138:D138"/>
    <mergeCell ref="B175:D175"/>
    <mergeCell ref="B204:N204"/>
    <mergeCell ref="C208:F208"/>
    <mergeCell ref="B158:N158"/>
    <mergeCell ref="C311:J311"/>
    <mergeCell ref="C337:F337"/>
    <mergeCell ref="B195:N195"/>
    <mergeCell ref="B170:D170"/>
    <mergeCell ref="D268:F268"/>
    <mergeCell ref="G210:H210"/>
    <mergeCell ref="C428:F428"/>
    <mergeCell ref="C426:F426"/>
    <mergeCell ref="B255:N255"/>
    <mergeCell ref="J210:N210"/>
    <mergeCell ref="AR59:AX60"/>
    <mergeCell ref="C439:N439"/>
    <mergeCell ref="D126:K126"/>
    <mergeCell ref="B129:N129"/>
    <mergeCell ref="B130:D130"/>
    <mergeCell ref="B127:C127"/>
    <mergeCell ref="B171:D171"/>
    <mergeCell ref="B193:D193"/>
    <mergeCell ref="B181:D181"/>
    <mergeCell ref="B182:D182"/>
    <mergeCell ref="B160:N160"/>
    <mergeCell ref="D163:K163"/>
    <mergeCell ref="C358:F358"/>
    <mergeCell ref="C359:F359"/>
    <mergeCell ref="C367:F367"/>
    <mergeCell ref="D325:F325"/>
    <mergeCell ref="C319:H319"/>
    <mergeCell ref="D321:F321"/>
    <mergeCell ref="D323:F323"/>
    <mergeCell ref="D317:F317"/>
    <mergeCell ref="C423:E423"/>
    <mergeCell ref="F407:G407"/>
    <mergeCell ref="D409:F409"/>
    <mergeCell ref="D411:F411"/>
    <mergeCell ref="D413:F413"/>
    <mergeCell ref="D432:E432"/>
    <mergeCell ref="D430:J430"/>
    <mergeCell ref="B169:D169"/>
    <mergeCell ref="D436:N436"/>
    <mergeCell ref="C259:F259"/>
    <mergeCell ref="D251:K251"/>
    <mergeCell ref="C261:F261"/>
    <mergeCell ref="C257:F257"/>
    <mergeCell ref="C431:F431"/>
    <mergeCell ref="B176:D176"/>
    <mergeCell ref="B198:N198"/>
    <mergeCell ref="B254:N254"/>
    <mergeCell ref="D269:F269"/>
    <mergeCell ref="B187:D187"/>
    <mergeCell ref="B188:D188"/>
    <mergeCell ref="B173:D173"/>
    <mergeCell ref="B172:D172"/>
    <mergeCell ref="C263:F263"/>
    <mergeCell ref="K212:L212"/>
    <mergeCell ref="E215:G215"/>
    <mergeCell ref="B174:D174"/>
    <mergeCell ref="B194:D194"/>
    <mergeCell ref="D415:F415"/>
    <mergeCell ref="G428:I428"/>
    <mergeCell ref="D2:L2"/>
    <mergeCell ref="B7:N7"/>
    <mergeCell ref="D18:M18"/>
    <mergeCell ref="D20:E20"/>
    <mergeCell ref="F20:G20"/>
    <mergeCell ref="A5:F5"/>
    <mergeCell ref="B8:N8"/>
    <mergeCell ref="D50:K50"/>
    <mergeCell ref="D23:F23"/>
    <mergeCell ref="D27:N28"/>
    <mergeCell ref="E12:M12"/>
    <mergeCell ref="B10:K10"/>
    <mergeCell ref="L10:N10"/>
    <mergeCell ref="E25:N25"/>
    <mergeCell ref="B27:C28"/>
    <mergeCell ref="D30:N31"/>
    <mergeCell ref="B30:C31"/>
    <mergeCell ref="B29:N29"/>
    <mergeCell ref="C25:D25"/>
    <mergeCell ref="C44:F44"/>
    <mergeCell ref="C46:F46"/>
    <mergeCell ref="B35:N35"/>
    <mergeCell ref="C37:F37"/>
    <mergeCell ref="C39:F39"/>
    <mergeCell ref="BJ56:BP64"/>
    <mergeCell ref="BJ66:BP67"/>
    <mergeCell ref="BA62:BG63"/>
    <mergeCell ref="AI50:AJ50"/>
    <mergeCell ref="BA59:BG59"/>
    <mergeCell ref="BA60:BB60"/>
    <mergeCell ref="BB50:BC50"/>
    <mergeCell ref="AK50:AT50"/>
    <mergeCell ref="AR56:AS56"/>
    <mergeCell ref="AI56:AJ56"/>
    <mergeCell ref="AK51:AO51"/>
    <mergeCell ref="AI54:AO54"/>
    <mergeCell ref="BA54:BG54"/>
    <mergeCell ref="BA56:BB56"/>
    <mergeCell ref="BD51:BH51"/>
    <mergeCell ref="BA66:BG67"/>
    <mergeCell ref="BD50:BK50"/>
    <mergeCell ref="AI59:AO60"/>
    <mergeCell ref="AR54:AX54"/>
    <mergeCell ref="BA64:BB64"/>
    <mergeCell ref="AI61:AJ61"/>
    <mergeCell ref="BA68:BG76"/>
    <mergeCell ref="AI69:AO70"/>
    <mergeCell ref="AR61:AS61"/>
    <mergeCell ref="AC67:AD67"/>
    <mergeCell ref="P80:Q80"/>
    <mergeCell ref="G83:H83"/>
    <mergeCell ref="C92:D92"/>
    <mergeCell ref="B81:F82"/>
    <mergeCell ref="G81:H82"/>
    <mergeCell ref="D79:K79"/>
    <mergeCell ref="B87:N87"/>
    <mergeCell ref="AQ91:AQ92"/>
    <mergeCell ref="BA85:BB85"/>
    <mergeCell ref="R87:Z93"/>
    <mergeCell ref="AE67:AF67"/>
    <mergeCell ref="B90:C90"/>
    <mergeCell ref="C93:D93"/>
    <mergeCell ref="B89:D89"/>
    <mergeCell ref="AR93:AS93"/>
    <mergeCell ref="B91:D91"/>
    <mergeCell ref="G137:N141"/>
    <mergeCell ref="B136:D136"/>
    <mergeCell ref="B120:N120"/>
    <mergeCell ref="B122:N122"/>
    <mergeCell ref="AI93:AJ93"/>
    <mergeCell ref="B97:N97"/>
    <mergeCell ref="C94:D94"/>
    <mergeCell ref="B102:C102"/>
    <mergeCell ref="R95:Z100"/>
    <mergeCell ref="R108:Z108"/>
    <mergeCell ref="R109:Z115"/>
    <mergeCell ref="R116:Z116"/>
    <mergeCell ref="R117:Z122"/>
    <mergeCell ref="P107:P108"/>
    <mergeCell ref="R105:AA105"/>
    <mergeCell ref="P126:Q126"/>
    <mergeCell ref="B110:N110"/>
    <mergeCell ref="B114:D114"/>
    <mergeCell ref="B112:D112"/>
    <mergeCell ref="B111:D111"/>
    <mergeCell ref="B101:C101"/>
    <mergeCell ref="P105:Q105"/>
    <mergeCell ref="B106:C106"/>
    <mergeCell ref="V107:X107"/>
    <mergeCell ref="BV79:BZ79"/>
    <mergeCell ref="BT79:BU79"/>
    <mergeCell ref="AQ83:AQ84"/>
    <mergeCell ref="AZ83:AZ84"/>
    <mergeCell ref="BV81:BZ81"/>
    <mergeCell ref="R80:AA80"/>
    <mergeCell ref="B88:D88"/>
    <mergeCell ref="G84:H84"/>
    <mergeCell ref="D83:E83"/>
    <mergeCell ref="P83:P84"/>
    <mergeCell ref="B83:C83"/>
    <mergeCell ref="B84:F84"/>
    <mergeCell ref="BJ85:BK85"/>
    <mergeCell ref="BV85:BW85"/>
    <mergeCell ref="U81:Z81"/>
    <mergeCell ref="V82:X82"/>
    <mergeCell ref="B123:C123"/>
    <mergeCell ref="B98:N98"/>
    <mergeCell ref="B100:N100"/>
    <mergeCell ref="B95:C95"/>
    <mergeCell ref="B133:D133"/>
    <mergeCell ref="D105:K105"/>
    <mergeCell ref="U106:Z106"/>
    <mergeCell ref="B96:D96"/>
    <mergeCell ref="C116:D116"/>
    <mergeCell ref="B132:D132"/>
    <mergeCell ref="G131:N135"/>
    <mergeCell ref="C217:D217"/>
    <mergeCell ref="C219:D219"/>
    <mergeCell ref="C221:D221"/>
    <mergeCell ref="C223:D223"/>
    <mergeCell ref="E217:G217"/>
    <mergeCell ref="E219:G219"/>
    <mergeCell ref="E221:G221"/>
    <mergeCell ref="E223:G223"/>
    <mergeCell ref="E225:G225"/>
    <mergeCell ref="BV106:BZ106"/>
    <mergeCell ref="BT105:BU105"/>
    <mergeCell ref="BV105:BZ105"/>
    <mergeCell ref="C265:I265"/>
    <mergeCell ref="AH115:AH116"/>
    <mergeCell ref="B135:D135"/>
    <mergeCell ref="C292:F292"/>
    <mergeCell ref="D275:F275"/>
    <mergeCell ref="D286:K286"/>
    <mergeCell ref="B134:D134"/>
    <mergeCell ref="BV108:CE108"/>
    <mergeCell ref="D277:F277"/>
    <mergeCell ref="D278:F278"/>
    <mergeCell ref="B131:D131"/>
    <mergeCell ref="B137:D137"/>
    <mergeCell ref="B168:D168"/>
    <mergeCell ref="B149:D149"/>
    <mergeCell ref="D273:F273"/>
    <mergeCell ref="D276:F276"/>
    <mergeCell ref="BV118:CE118"/>
    <mergeCell ref="AQ115:AQ116"/>
    <mergeCell ref="AZ107:AZ108"/>
    <mergeCell ref="AQ107:AQ108"/>
    <mergeCell ref="D267:F267"/>
    <mergeCell ref="D298:F298"/>
    <mergeCell ref="D281:F281"/>
    <mergeCell ref="D271:F271"/>
    <mergeCell ref="D272:F272"/>
    <mergeCell ref="C306:F306"/>
    <mergeCell ref="D296:F296"/>
    <mergeCell ref="D293:H293"/>
    <mergeCell ref="C290:F290"/>
    <mergeCell ref="I290:M290"/>
    <mergeCell ref="D274:F274"/>
    <mergeCell ref="D282:F282"/>
    <mergeCell ref="D279:F279"/>
    <mergeCell ref="D280:F280"/>
    <mergeCell ref="D294:F294"/>
    <mergeCell ref="C304:F304"/>
    <mergeCell ref="D315:F315"/>
    <mergeCell ref="C336:F336"/>
    <mergeCell ref="D302:F302"/>
    <mergeCell ref="D300:F300"/>
    <mergeCell ref="D351:F351"/>
    <mergeCell ref="C330:F330"/>
    <mergeCell ref="D313:F313"/>
    <mergeCell ref="D320:H320"/>
    <mergeCell ref="B328:N328"/>
    <mergeCell ref="C308:F308"/>
    <mergeCell ref="V52:X52"/>
    <mergeCell ref="L215:N215"/>
    <mergeCell ref="I223:K223"/>
    <mergeCell ref="L217:N217"/>
    <mergeCell ref="L219:N219"/>
    <mergeCell ref="L221:N221"/>
    <mergeCell ref="L223:N223"/>
    <mergeCell ref="C227:K227"/>
    <mergeCell ref="C228:N245"/>
    <mergeCell ref="B143:D143"/>
    <mergeCell ref="B155:D155"/>
    <mergeCell ref="B164:C164"/>
    <mergeCell ref="B166:N166"/>
    <mergeCell ref="B157:N157"/>
    <mergeCell ref="B144:D144"/>
    <mergeCell ref="B150:D150"/>
    <mergeCell ref="B117:D117"/>
    <mergeCell ref="B119:N119"/>
    <mergeCell ref="B118:D118"/>
    <mergeCell ref="B113:C113"/>
    <mergeCell ref="B76:N76"/>
    <mergeCell ref="O143:Y143"/>
    <mergeCell ref="G168:N172"/>
    <mergeCell ref="G174:N178"/>
    <mergeCell ref="C362:F362"/>
    <mergeCell ref="C365:G365"/>
    <mergeCell ref="D332:F332"/>
    <mergeCell ref="D334:F334"/>
    <mergeCell ref="D341:F341"/>
    <mergeCell ref="D343:F343"/>
    <mergeCell ref="C348:F348"/>
    <mergeCell ref="C339:G339"/>
    <mergeCell ref="D345:F345"/>
    <mergeCell ref="C349:G349"/>
    <mergeCell ref="C360:F360"/>
    <mergeCell ref="D353:F353"/>
    <mergeCell ref="D355:F355"/>
  </mergeCells>
  <conditionalFormatting sqref="B97:C97">
    <cfRule type="expression" dxfId="1002" priority="2342" stopIfTrue="1">
      <formula>AND(N96&gt;=0.7,N96&lt;&gt;0,N96&lt;=100%,B98="")</formula>
    </cfRule>
    <cfRule type="expression" dxfId="1001" priority="2534" stopIfTrue="1">
      <formula>AND(N95&lt;&gt;"",N96&lt;0.7,B98="")</formula>
    </cfRule>
  </conditionalFormatting>
  <conditionalFormatting sqref="E147:N147 B147">
    <cfRule type="expression" dxfId="1000" priority="2508">
      <formula>MOD(ROW(),2)=1</formula>
    </cfRule>
  </conditionalFormatting>
  <conditionalFormatting sqref="E147:N147 B147">
    <cfRule type="expression" dxfId="999" priority="2507">
      <formula>MOD(ROW(),2)=1</formula>
    </cfRule>
  </conditionalFormatting>
  <conditionalFormatting sqref="E153:N153 B153">
    <cfRule type="expression" dxfId="998" priority="2500">
      <formula>MOD(ROW(),2)=1</formula>
    </cfRule>
  </conditionalFormatting>
  <conditionalFormatting sqref="E153:N153 B153">
    <cfRule type="expression" dxfId="997" priority="2499">
      <formula>MOD(ROW(),2)=1</formula>
    </cfRule>
  </conditionalFormatting>
  <conditionalFormatting sqref="B157:D157">
    <cfRule type="expression" dxfId="996" priority="2575">
      <formula>B157&lt;&gt;""</formula>
    </cfRule>
  </conditionalFormatting>
  <conditionalFormatting sqref="E56:E59 F112:M114 E111:E116 F64:M64 E61:E64 E66:E71 F69:M71 F181:M181 F187:M187 F193:M193 E88:E91 E93 F57:M58 F91:N91 E95:N95 E117:M117 E132:E133 E167:E168 F88:M90 F111:L111">
    <cfRule type="expression" dxfId="995" priority="593">
      <formula>AND($D$4&lt;&gt;YEAR($E$58), $E$58&lt;&gt;0)</formula>
    </cfRule>
  </conditionalFormatting>
  <conditionalFormatting sqref="C210">
    <cfRule type="expression" dxfId="994" priority="2356">
      <formula>G208="No"</formula>
    </cfRule>
  </conditionalFormatting>
  <conditionalFormatting sqref="G212:H212">
    <cfRule type="expression" dxfId="993" priority="2355">
      <formula>AND(G208="No",G210="Yes")</formula>
    </cfRule>
  </conditionalFormatting>
  <conditionalFormatting sqref="J208:N208">
    <cfRule type="expression" dxfId="992" priority="2344">
      <formula>G208="Yes"</formula>
    </cfRule>
  </conditionalFormatting>
  <conditionalFormatting sqref="N73">
    <cfRule type="expression" dxfId="991" priority="2259">
      <formula>AND($N$73&lt;0.7,$N$72&lt;=100%,$B$75="")</formula>
    </cfRule>
    <cfRule type="expression" dxfId="990" priority="2260">
      <formula>AND($N$73&gt;=0.7,$B$75="")</formula>
    </cfRule>
  </conditionalFormatting>
  <conditionalFormatting sqref="N156">
    <cfRule type="expression" dxfId="989" priority="2142">
      <formula>AND(N156=100%,$B$158="")</formula>
    </cfRule>
    <cfRule type="expression" dxfId="988" priority="2338">
      <formula>AND(N134&lt;&gt;"",N156&lt;100%,N156&lt;&gt;"",$B$158="")</formula>
    </cfRule>
  </conditionalFormatting>
  <conditionalFormatting sqref="N96">
    <cfRule type="expression" dxfId="987" priority="2184">
      <formula>AND($N$96&gt;=0.7,$N$96&lt;=100%,$B$98="")</formula>
    </cfRule>
    <cfRule type="expression" dxfId="986" priority="2214">
      <formula>AND($N$95&lt;&gt;"",$N$96&lt;0.7,$B$98="")</formula>
    </cfRule>
  </conditionalFormatting>
  <conditionalFormatting sqref="B98">
    <cfRule type="expression" dxfId="985" priority="2607">
      <formula>B98&gt;""</formula>
    </cfRule>
  </conditionalFormatting>
  <conditionalFormatting sqref="C145:D145">
    <cfRule type="expression" dxfId="984" priority="2293">
      <formula>MOD(ROW(),2)=1</formula>
    </cfRule>
  </conditionalFormatting>
  <conditionalFormatting sqref="C145:D145">
    <cfRule type="expression" dxfId="983" priority="2292">
      <formula>MOD(ROW(),2)=1</formula>
    </cfRule>
  </conditionalFormatting>
  <conditionalFormatting sqref="C147:D147">
    <cfRule type="expression" dxfId="982" priority="2291">
      <formula>MOD(ROW(),2)=1</formula>
    </cfRule>
  </conditionalFormatting>
  <conditionalFormatting sqref="C147:D147">
    <cfRule type="expression" dxfId="981" priority="2290">
      <formula>MOD(ROW(),2)=1</formula>
    </cfRule>
  </conditionalFormatting>
  <conditionalFormatting sqref="C151:D151">
    <cfRule type="expression" dxfId="980" priority="2285">
      <formula>MOD(ROW(),2)=1</formula>
    </cfRule>
  </conditionalFormatting>
  <conditionalFormatting sqref="C151:D151">
    <cfRule type="expression" dxfId="979" priority="2284">
      <formula>MOD(ROW(),2)=1</formula>
    </cfRule>
  </conditionalFormatting>
  <conditionalFormatting sqref="C153:D153">
    <cfRule type="expression" dxfId="978" priority="2283">
      <formula>MOD(ROW(),2)=1</formula>
    </cfRule>
  </conditionalFormatting>
  <conditionalFormatting sqref="C153:D153">
    <cfRule type="expression" dxfId="977" priority="2282">
      <formula>MOD(ROW(),2)=1</formula>
    </cfRule>
  </conditionalFormatting>
  <conditionalFormatting sqref="G71 G73">
    <cfRule type="expression" dxfId="976" priority="2343" stopIfTrue="1">
      <formula>AND($G$72&gt;100%,$G$71&lt;&gt;"")</formula>
    </cfRule>
  </conditionalFormatting>
  <conditionalFormatting sqref="B75:N75">
    <cfRule type="expression" dxfId="975" priority="2270">
      <formula>B75&gt;""</formula>
    </cfRule>
  </conditionalFormatting>
  <conditionalFormatting sqref="F56 F115:F116 F66:F68 F93 F61:F63 F59 E94">
    <cfRule type="expression" dxfId="974" priority="2269">
      <formula>AND($D$4&lt;&gt;YEAR($F$58), $F$58&lt;&gt;0)</formula>
    </cfRule>
  </conditionalFormatting>
  <conditionalFormatting sqref="F59 F71 F73">
    <cfRule type="expression" dxfId="973" priority="2268" stopIfTrue="1">
      <formula>AND($F$72&gt;100%,$F$71&lt;&gt;"")</formula>
    </cfRule>
  </conditionalFormatting>
  <conditionalFormatting sqref="G56 G115:G116 G66:G68 G144:G148 G61:G63 G188:G192 G182:G186 G93:G94 G59">
    <cfRule type="expression" dxfId="972" priority="2265">
      <formula>AND($D$4&lt;&gt;YEAR($G$58), $G$58&lt;&gt;0)</formula>
    </cfRule>
  </conditionalFormatting>
  <conditionalFormatting sqref="H56 H115:H116 H66:H68 H61:H63 H93:H94 H59 H180">
    <cfRule type="expression" dxfId="971" priority="640">
      <formula>AND($D$4&lt;&gt;YEAR($H$58), $H$58&lt;&gt;0)</formula>
    </cfRule>
  </conditionalFormatting>
  <conditionalFormatting sqref="H59 H71 H73">
    <cfRule type="expression" dxfId="970" priority="2257">
      <formula>AND($H$72&gt;100%,$H$71&lt;&gt;"")</formula>
    </cfRule>
  </conditionalFormatting>
  <conditionalFormatting sqref="I56 I150:I154 I115:I116 I66:I68 I144:I148 I61:I63 I188:I192 I182:I186 I93:I94 I59">
    <cfRule type="expression" dxfId="969" priority="2254">
      <formula>AND($D$4&lt;&gt;YEAR($I$58), $I$58&lt;&gt;0)</formula>
    </cfRule>
  </conditionalFormatting>
  <conditionalFormatting sqref="J56 J150:J154 J115:J116 J66:J68 J144:J148 J61:J63 J188:J192 J182:J186 J93:J94 J59">
    <cfRule type="expression" dxfId="968" priority="638">
      <formula>AND($D$4&lt;&gt;YEAR($J$58), $J$58&lt;&gt;0)</formula>
    </cfRule>
  </conditionalFormatting>
  <conditionalFormatting sqref="K56 K115:K116 K66:K68 K144:K148 K61:K63 K188:K192 K182:K186 K93:K94 K59">
    <cfRule type="expression" dxfId="967" priority="2252">
      <formula>AND($D$4&lt;&gt;YEAR($K$58), $K$58&lt;&gt;0)</formula>
    </cfRule>
  </conditionalFormatting>
  <conditionalFormatting sqref="L56 L115:L116 L66:L68 L144:L148 L61:L63 L188:L192 L182:L186 L93:L94 L59">
    <cfRule type="expression" dxfId="966" priority="2251">
      <formula>AND($D$4&lt;&gt;YEAR($L$58), $L$58&lt;&gt;0)</formula>
    </cfRule>
  </conditionalFormatting>
  <conditionalFormatting sqref="M56 M111 M115:M116 M66:M68 M144:M148 M61:M63 M188:M192 M182:M186 M93:M94 M59">
    <cfRule type="expression" dxfId="965" priority="635">
      <formula>AND($D$4&lt;&gt;YEAR($M$58), $M$58&lt;&gt;0)</formula>
    </cfRule>
  </conditionalFormatting>
  <conditionalFormatting sqref="I59 I71 I73">
    <cfRule type="expression" dxfId="964" priority="2249">
      <formula>AND($I$72&gt;100%,$I$71&lt;&gt;"")</formula>
    </cfRule>
  </conditionalFormatting>
  <conditionalFormatting sqref="K59 K71 K73">
    <cfRule type="expression" dxfId="963" priority="2247">
      <formula>AND($K$72&gt;100%,$K$71&lt;&gt;"")</formula>
    </cfRule>
  </conditionalFormatting>
  <conditionalFormatting sqref="L59 L71 L73">
    <cfRule type="expression" dxfId="962" priority="2246">
      <formula>AND($L$72&gt;100%,$L$71&lt;&gt;"")</formula>
    </cfRule>
  </conditionalFormatting>
  <conditionalFormatting sqref="M59 M71 M73">
    <cfRule type="expression" dxfId="961" priority="2245">
      <formula>AND($M$72&gt;100%,$M$71&lt;&gt;"")</formula>
    </cfRule>
  </conditionalFormatting>
  <conditionalFormatting sqref="J59 J71 J73">
    <cfRule type="expression" dxfId="960" priority="2242">
      <formula>AND($J$72&gt;100%,$J$71&lt;&gt;"")</formula>
    </cfRule>
  </conditionalFormatting>
  <conditionalFormatting sqref="F73">
    <cfRule type="expression" dxfId="959" priority="2266">
      <formula>AND($F$73&gt;=0.7,$F$73&lt;&gt;"",$B$75="")</formula>
    </cfRule>
    <cfRule type="expression" dxfId="958" priority="2267">
      <formula>AND($F$73&lt;0.7,$F$72&lt;=100%,$F$72&gt;0,$B$75="")</formula>
    </cfRule>
  </conditionalFormatting>
  <conditionalFormatting sqref="E73">
    <cfRule type="expression" dxfId="957" priority="2212">
      <formula>AND($E$73&lt;0.7,$E$72&lt;=100%,$E$72&gt;0,$B$75="")</formula>
    </cfRule>
    <cfRule type="expression" dxfId="956" priority="2213">
      <formula>AND($E$73&gt;=0.7,$E$73&lt;&gt;"",$B$75="")</formula>
    </cfRule>
  </conditionalFormatting>
  <conditionalFormatting sqref="B158:N158">
    <cfRule type="expression" dxfId="955" priority="2141">
      <formula>B158&lt;&gt;""</formula>
    </cfRule>
  </conditionalFormatting>
  <conditionalFormatting sqref="F155 O155">
    <cfRule type="expression" dxfId="954" priority="1571">
      <formula>AND($F$155&lt;$F$136,$F$155&lt;&gt;"")</formula>
    </cfRule>
    <cfRule type="expression" dxfId="953" priority="1855">
      <formula>AND($F$155&gt;$F$136,$F$155&lt;&gt;"")</formula>
    </cfRule>
    <cfRule type="expression" dxfId="952" priority="2094">
      <formula>AND($F$155&lt;&gt;$F$136,$F$136&lt;&gt;"",$F$155="")</formula>
    </cfRule>
  </conditionalFormatting>
  <conditionalFormatting sqref="G155 O155">
    <cfRule type="expression" dxfId="951" priority="1570">
      <formula>AND($G$155&lt;$G$136,$G$155&lt;&gt;"")</formula>
    </cfRule>
    <cfRule type="expression" dxfId="950" priority="1854">
      <formula>AND($G$155&gt;$G$136,$G$155&lt;&gt;"")</formula>
    </cfRule>
    <cfRule type="expression" dxfId="949" priority="2093">
      <formula>AND($G$155&lt;&gt;$G$136,$G$136&lt;&gt;"",$G$155="")</formula>
    </cfRule>
  </conditionalFormatting>
  <conditionalFormatting sqref="H155 O155">
    <cfRule type="expression" dxfId="948" priority="1569">
      <formula>AND($H$155&lt;$H$136,$H$155&lt;&gt;"")</formula>
    </cfRule>
    <cfRule type="expression" dxfId="947" priority="1853">
      <formula>AND($H$155&gt;$H$136,$H$155&lt;&gt;"")</formula>
    </cfRule>
    <cfRule type="expression" dxfId="946" priority="2092">
      <formula>AND($H$155&lt;&gt;$H$136,$H$136&lt;&gt;"",$H$155="")</formula>
    </cfRule>
  </conditionalFormatting>
  <conditionalFormatting sqref="I155 O155">
    <cfRule type="expression" dxfId="945" priority="1568">
      <formula>AND($I$155&lt;$I$136,$I$155&lt;&gt;"")</formula>
    </cfRule>
    <cfRule type="expression" dxfId="944" priority="1852">
      <formula>AND($I$155&gt;$I$136,$I$155&lt;&gt;"")</formula>
    </cfRule>
    <cfRule type="expression" dxfId="943" priority="2091">
      <formula>AND($I$155&lt;&gt;$I$136,$I$136&lt;&gt;"",$I$155="")</formula>
    </cfRule>
  </conditionalFormatting>
  <conditionalFormatting sqref="J155 O155">
    <cfRule type="expression" dxfId="942" priority="1567">
      <formula>AND($J$155&lt;$J$136,$J$155&lt;&gt;"")</formula>
    </cfRule>
    <cfRule type="expression" dxfId="941" priority="1851">
      <formula>AND($J$155&gt;$J$136,$J$155&lt;&gt;"")</formula>
    </cfRule>
    <cfRule type="expression" dxfId="940" priority="2090">
      <formula>AND($J$155&lt;&gt;$J$136,$J$136&lt;&gt;"",$J$155="")</formula>
    </cfRule>
  </conditionalFormatting>
  <conditionalFormatting sqref="K155 O155">
    <cfRule type="expression" dxfId="939" priority="1566">
      <formula>AND($K$155&lt;$K$136,$K$155&lt;&gt;"")</formula>
    </cfRule>
    <cfRule type="expression" dxfId="938" priority="1850">
      <formula>AND($K$155&gt;$K$136,$K$155&lt;&gt;"")</formula>
    </cfRule>
    <cfRule type="expression" dxfId="937" priority="2089">
      <formula>AND($K$155&lt;&gt;$K$136,$K$136&lt;&gt;"",$K$155="")</formula>
    </cfRule>
  </conditionalFormatting>
  <conditionalFormatting sqref="L155 O155">
    <cfRule type="expression" dxfId="936" priority="1565">
      <formula>AND($L$155&lt;$L$136,$L$155&lt;&gt;"")</formula>
    </cfRule>
    <cfRule type="expression" dxfId="935" priority="1849">
      <formula>AND($L$155&gt;$L$136,$L$155&lt;&gt;"")</formula>
    </cfRule>
    <cfRule type="expression" dxfId="934" priority="2088">
      <formula>AND($L$155&lt;&gt;$L$136,$L$136&lt;&gt;"",$L$155="")</formula>
    </cfRule>
  </conditionalFormatting>
  <conditionalFormatting sqref="M155 O155">
    <cfRule type="expression" dxfId="933" priority="1564">
      <formula>AND($M$155&lt;$M$136,$M$155&lt;&gt;"")</formula>
    </cfRule>
    <cfRule type="expression" dxfId="932" priority="1848">
      <formula>AND($M$155&gt;$M$136,$M$155&lt;&gt;"")</formula>
    </cfRule>
    <cfRule type="expression" dxfId="931" priority="2087">
      <formula>AND($M$155&lt;&gt;$M$136,$M$136&lt;&gt;"",$M$155="")</formula>
    </cfRule>
  </conditionalFormatting>
  <conditionalFormatting sqref="AI59:AO60">
    <cfRule type="expression" dxfId="930" priority="2074">
      <formula>$AI$56="No"</formula>
    </cfRule>
  </conditionalFormatting>
  <conditionalFormatting sqref="AI65:AO66">
    <cfRule type="expression" dxfId="929" priority="2073">
      <formula>$AI$56="No"</formula>
    </cfRule>
  </conditionalFormatting>
  <conditionalFormatting sqref="AI69:AO70">
    <cfRule type="expression" dxfId="928" priority="2072">
      <formula>$AI$56="No"</formula>
    </cfRule>
  </conditionalFormatting>
  <conditionalFormatting sqref="BA66:BG67">
    <cfRule type="expression" dxfId="927" priority="2059">
      <formula>AND($BA$56="No",$BA$60="No")</formula>
    </cfRule>
  </conditionalFormatting>
  <conditionalFormatting sqref="AG117:AG118">
    <cfRule type="expression" dxfId="926" priority="2046">
      <formula>AND(U118&lt;0.7,U118&lt;&gt;0,I120="")</formula>
    </cfRule>
  </conditionalFormatting>
  <conditionalFormatting sqref="AP119">
    <cfRule type="expression" dxfId="925" priority="2042">
      <formula>AP117="Yes"</formula>
    </cfRule>
  </conditionalFormatting>
  <conditionalFormatting sqref="B119:D119">
    <cfRule type="expression" dxfId="924" priority="2019" stopIfTrue="1">
      <formula>AND(N118&gt;=0.7,B119&lt;&gt;"")</formula>
    </cfRule>
    <cfRule type="expression" dxfId="923" priority="2022" stopIfTrue="1">
      <formula>AND(N118&lt;0.7,B119&lt;&gt;"")</formula>
    </cfRule>
  </conditionalFormatting>
  <conditionalFormatting sqref="N118">
    <cfRule type="expression" dxfId="922" priority="1989">
      <formula>AND($N$118&gt;=0.7,$N$118&lt;=100%,$B$120="")</formula>
    </cfRule>
    <cfRule type="expression" dxfId="921" priority="2000">
      <formula>AND($N$115&lt;&gt;"",$N$116&lt;&gt;"",$N$118&lt;0.7,$N$118&lt;&gt;"",$B$120="")</formula>
    </cfRule>
  </conditionalFormatting>
  <conditionalFormatting sqref="B120">
    <cfRule type="expression" dxfId="920" priority="2024">
      <formula>B120&gt;""</formula>
    </cfRule>
  </conditionalFormatting>
  <conditionalFormatting sqref="E114 E117:E118">
    <cfRule type="expression" dxfId="919" priority="2020" stopIfTrue="1">
      <formula>AND($E$118&gt;100%,$E$117&lt;&gt;"")</formula>
    </cfRule>
  </conditionalFormatting>
  <conditionalFormatting sqref="F114 F117:F118">
    <cfRule type="expression" dxfId="918" priority="1999">
      <formula>AND($F$118&gt;100%,$F$117&lt;&gt;"")</formula>
    </cfRule>
  </conditionalFormatting>
  <conditionalFormatting sqref="H114 H117:H118">
    <cfRule type="expression" dxfId="917" priority="1980">
      <formula>AND($H$118&gt;100%,$H$117&lt;&gt;"")</formula>
    </cfRule>
  </conditionalFormatting>
  <conditionalFormatting sqref="J114 J117:J118">
    <cfRule type="expression" dxfId="916" priority="1978">
      <formula>AND($J$118&gt;100%,$J$117&lt;&gt;"")</formula>
    </cfRule>
  </conditionalFormatting>
  <conditionalFormatting sqref="K114 K117:K118">
    <cfRule type="expression" dxfId="915" priority="1977">
      <formula>AND($K$118&gt;100%,$K$117&lt;&gt;"")</formula>
    </cfRule>
  </conditionalFormatting>
  <conditionalFormatting sqref="L114 L117:L118">
    <cfRule type="expression" dxfId="914" priority="1976">
      <formula>AND($L$118&gt;100%,$L$117&lt;&gt;"")</formula>
    </cfRule>
  </conditionalFormatting>
  <conditionalFormatting sqref="O240">
    <cfRule type="expression" dxfId="913" priority="1898">
      <formula>K210&gt;2</formula>
    </cfRule>
  </conditionalFormatting>
  <conditionalFormatting sqref="C248:D248">
    <cfRule type="expression" dxfId="912" priority="2618">
      <formula>G229&gt;=1</formula>
    </cfRule>
  </conditionalFormatting>
  <conditionalFormatting sqref="F149 O149">
    <cfRule type="expression" dxfId="911" priority="1580">
      <formula>AND($F$149&lt;$F$136,$F$149&lt;&gt;"")</formula>
    </cfRule>
    <cfRule type="expression" dxfId="910" priority="1864">
      <formula>AND($F$149&gt;$F$136,$F$149&lt;&gt;"")</formula>
    </cfRule>
    <cfRule type="expression" dxfId="909" priority="2103">
      <formula>AND($F$149&lt;&gt;$F$136,$F$136&lt;&gt;"",$F$149="")</formula>
    </cfRule>
  </conditionalFormatting>
  <conditionalFormatting sqref="G149 O149">
    <cfRule type="expression" dxfId="908" priority="1579">
      <formula>AND($G$149&lt;$G$136,$G$149&lt;&gt;"")</formula>
    </cfRule>
    <cfRule type="expression" dxfId="907" priority="1863">
      <formula>AND($G$149&gt;$G$136,$G$149&lt;&gt;"")</formula>
    </cfRule>
    <cfRule type="expression" dxfId="906" priority="2102">
      <formula>AND($G$149&lt;&gt;$G$136,$G$136&lt;&gt;"",$G$149="")</formula>
    </cfRule>
  </conditionalFormatting>
  <conditionalFormatting sqref="H149 O149">
    <cfRule type="expression" dxfId="905" priority="1578">
      <formula>AND($H$149&lt;$H$136,$H$149&lt;&gt;"")</formula>
    </cfRule>
    <cfRule type="expression" dxfId="904" priority="1862">
      <formula>AND($H$149&gt;$H$136,$H$149&lt;&gt;"")</formula>
    </cfRule>
    <cfRule type="expression" dxfId="903" priority="2101">
      <formula>AND($H$149&lt;&gt;$H$136,$H$136&lt;&gt;"",$H$149="")</formula>
    </cfRule>
  </conditionalFormatting>
  <conditionalFormatting sqref="I149 O149">
    <cfRule type="expression" dxfId="902" priority="1577">
      <formula>AND($I$149&lt;$I$136,$I$149&lt;&gt;"")</formula>
    </cfRule>
    <cfRule type="expression" dxfId="901" priority="1861">
      <formula>AND($I$149&gt;$I$136,$I$149&lt;&gt;"")</formula>
    </cfRule>
    <cfRule type="expression" dxfId="900" priority="2100">
      <formula>AND($I$149&lt;&gt;$I$136,$I$136&lt;&gt;"",$I$149="")</formula>
    </cfRule>
  </conditionalFormatting>
  <conditionalFormatting sqref="J149 O149">
    <cfRule type="expression" dxfId="899" priority="1576">
      <formula>AND($J$149&lt;$J$136,$J$149&lt;&gt;"")</formula>
    </cfRule>
    <cfRule type="expression" dxfId="898" priority="1860">
      <formula>AND($J$149&gt;$J$136,$J$149&lt;&gt;"")</formula>
    </cfRule>
    <cfRule type="expression" dxfId="897" priority="2099">
      <formula>AND($J$149&lt;&gt;$J$136,$J$136&lt;&gt;"",$J$149="")</formula>
    </cfRule>
  </conditionalFormatting>
  <conditionalFormatting sqref="K149 O149">
    <cfRule type="expression" dxfId="896" priority="1575">
      <formula>AND($K$149&lt;$K$136,$K$149&lt;&gt;"")</formula>
    </cfRule>
    <cfRule type="expression" dxfId="895" priority="1859">
      <formula>AND($K$149&gt;$K$136,$K$149&lt;&gt;"")</formula>
    </cfRule>
    <cfRule type="expression" dxfId="894" priority="2098">
      <formula>AND($K$149&lt;&gt;$K$136,$K$136&lt;&gt;"",$K$149="")</formula>
    </cfRule>
  </conditionalFormatting>
  <conditionalFormatting sqref="L149 O149">
    <cfRule type="expression" dxfId="893" priority="1574">
      <formula>AND($L$149&lt;$L$136,$L$149&lt;&gt;"")</formula>
    </cfRule>
    <cfRule type="expression" dxfId="892" priority="1858">
      <formula>AND($L$149&gt;$L$136,$L$149&lt;&gt;"")</formula>
    </cfRule>
    <cfRule type="expression" dxfId="891" priority="2097">
      <formula>AND($L$149&lt;&gt;$L$136,$L$136&lt;&gt;"",$L$149="")</formula>
    </cfRule>
  </conditionalFormatting>
  <conditionalFormatting sqref="M149 O149">
    <cfRule type="expression" dxfId="890" priority="1573">
      <formula>AND($M$149&lt;$M$136,$M$149&lt;&gt;"")</formula>
    </cfRule>
    <cfRule type="expression" dxfId="889" priority="1857">
      <formula>AND($M$149&gt;$M$136,$M$149&lt;&gt;"")</formula>
    </cfRule>
    <cfRule type="expression" dxfId="888" priority="2096">
      <formula>AND($M$149&lt;&gt;$M$136,$M$136&lt;&gt;"",$M$149="")</formula>
    </cfRule>
  </conditionalFormatting>
  <conditionalFormatting sqref="G259 C269:C272 C274 C276:C279 C280:G282 D269:F271 C273:F273 C275:F275 G269:G279 H269:H282 D277:F278">
    <cfRule type="expression" dxfId="887" priority="1847">
      <formula>$G$257="Yes"</formula>
    </cfRule>
  </conditionalFormatting>
  <conditionalFormatting sqref="G261">
    <cfRule type="expression" dxfId="886" priority="1846">
      <formula>$G$257="Yes"</formula>
    </cfRule>
  </conditionalFormatting>
  <conditionalFormatting sqref="G263">
    <cfRule type="expression" dxfId="885" priority="1845">
      <formula>$G$257="Yes"</formula>
    </cfRule>
  </conditionalFormatting>
  <conditionalFormatting sqref="C267:D267 G267:I267">
    <cfRule type="expression" dxfId="884" priority="1844">
      <formula>$G$257="Yes"</formula>
    </cfRule>
  </conditionalFormatting>
  <conditionalFormatting sqref="D267:F267">
    <cfRule type="expression" dxfId="883" priority="1843">
      <formula>$G$257="Yes"</formula>
    </cfRule>
  </conditionalFormatting>
  <conditionalFormatting sqref="I268:I282">
    <cfRule type="expression" dxfId="882" priority="1842">
      <formula>$G$257="Yes"</formula>
    </cfRule>
  </conditionalFormatting>
  <conditionalFormatting sqref="C268">
    <cfRule type="expression" dxfId="881" priority="1841">
      <formula>$G$257="Yes"</formula>
    </cfRule>
  </conditionalFormatting>
  <conditionalFormatting sqref="D268:F268">
    <cfRule type="expression" dxfId="880" priority="1840">
      <formula>$G$257="Yes"</formula>
    </cfRule>
  </conditionalFormatting>
  <conditionalFormatting sqref="D272:F272">
    <cfRule type="expression" dxfId="879" priority="1839">
      <formula>$G$257="Yes"</formula>
    </cfRule>
  </conditionalFormatting>
  <conditionalFormatting sqref="D274:F274">
    <cfRule type="expression" dxfId="878" priority="1838">
      <formula>$G$257="Yes"</formula>
    </cfRule>
  </conditionalFormatting>
  <conditionalFormatting sqref="G268">
    <cfRule type="expression" dxfId="877" priority="1836">
      <formula>$G$257="Yes"</formula>
    </cfRule>
  </conditionalFormatting>
  <conditionalFormatting sqref="H268">
    <cfRule type="expression" dxfId="876" priority="1835">
      <formula>$G$257="Yes"</formula>
    </cfRule>
  </conditionalFormatting>
  <conditionalFormatting sqref="D276:F276">
    <cfRule type="expression" dxfId="875" priority="1834">
      <formula>$G$257="Yes"</formula>
    </cfRule>
  </conditionalFormatting>
  <conditionalFormatting sqref="D279:F279">
    <cfRule type="expression" dxfId="874" priority="1833">
      <formula>$G$257="Yes"</formula>
    </cfRule>
  </conditionalFormatting>
  <conditionalFormatting sqref="H224">
    <cfRule type="expression" dxfId="873" priority="2620">
      <formula>#REF!&gt;=1</formula>
    </cfRule>
  </conditionalFormatting>
  <conditionalFormatting sqref="H225:H226">
    <cfRule type="expression" dxfId="872" priority="2657">
      <formula>#REF!&gt;=1</formula>
    </cfRule>
  </conditionalFormatting>
  <conditionalFormatting sqref="E248:G248">
    <cfRule type="expression" dxfId="871" priority="2663">
      <formula>#REF!&gt;=1</formula>
    </cfRule>
  </conditionalFormatting>
  <conditionalFormatting sqref="E156">
    <cfRule type="expression" dxfId="870" priority="2158">
      <formula>AND(E156&lt;100%,E156&lt;&gt;"",B158="")</formula>
    </cfRule>
    <cfRule type="expression" dxfId="869" priority="2527">
      <formula>AND($E$156=100%,$B$158="")</formula>
    </cfRule>
  </conditionalFormatting>
  <conditionalFormatting sqref="G114 G117:G118">
    <cfRule type="expression" dxfId="868" priority="1791">
      <formula>AND($G$118&gt;100%,$G$117&lt;&gt;"")</formula>
    </cfRule>
  </conditionalFormatting>
  <conditionalFormatting sqref="I114 I117:I118">
    <cfRule type="expression" dxfId="867" priority="1789">
      <formula>AND($I$118&gt;100%,$I$117&lt;&gt;"")</formula>
    </cfRule>
  </conditionalFormatting>
  <conditionalFormatting sqref="M114 M117:M118">
    <cfRule type="expression" dxfId="866" priority="1785">
      <formula>AND($M$118&gt;100%,$M$117&lt;&gt;"")</formula>
    </cfRule>
  </conditionalFormatting>
  <conditionalFormatting sqref="F156">
    <cfRule type="expression" dxfId="865" priority="1769">
      <formula>AND(F156&lt;100%,F156&lt;&gt;"",B158="")</formula>
    </cfRule>
    <cfRule type="expression" dxfId="864" priority="1783">
      <formula>AND($F$156=100%,$B$158="")</formula>
    </cfRule>
  </conditionalFormatting>
  <conditionalFormatting sqref="G156">
    <cfRule type="expression" dxfId="863" priority="1768">
      <formula>AND(G156&lt;100%,G156&lt;&gt;"",B158="")</formula>
    </cfRule>
    <cfRule type="expression" dxfId="862" priority="1782">
      <formula>AND($G$156=100%,$B$158="")</formula>
    </cfRule>
  </conditionalFormatting>
  <conditionalFormatting sqref="H156">
    <cfRule type="expression" dxfId="861" priority="1767">
      <formula>AND(H156&lt;100%,H156&lt;&gt;"",B158="")</formula>
    </cfRule>
    <cfRule type="expression" dxfId="860" priority="1781">
      <formula>AND($H$156=100%,$B$158="")</formula>
    </cfRule>
  </conditionalFormatting>
  <conditionalFormatting sqref="I156">
    <cfRule type="expression" dxfId="859" priority="1766">
      <formula>AND(I156&lt;100%,I156&lt;&gt;"",B158="")</formula>
    </cfRule>
    <cfRule type="expression" dxfId="858" priority="1780">
      <formula>AND($I$156=100%,$B$158="")</formula>
    </cfRule>
  </conditionalFormatting>
  <conditionalFormatting sqref="J156">
    <cfRule type="expression" dxfId="857" priority="1765">
      <formula>AND(J156&lt;100%,J156&lt;&gt;"",B158="")</formula>
    </cfRule>
    <cfRule type="expression" dxfId="856" priority="1779">
      <formula>AND($J$156=100%,$B$158="")</formula>
    </cfRule>
  </conditionalFormatting>
  <conditionalFormatting sqref="K156">
    <cfRule type="expression" dxfId="855" priority="1764">
      <formula>AND(K156&lt;100%,K156&lt;&gt;"",B158="")</formula>
    </cfRule>
    <cfRule type="expression" dxfId="854" priority="1778">
      <formula>AND($K$156=100%,$B$158="")</formula>
    </cfRule>
  </conditionalFormatting>
  <conditionalFormatting sqref="L156">
    <cfRule type="expression" dxfId="853" priority="1763">
      <formula>AND(L156&lt;100%,L156&lt;&gt;"",B158="")</formula>
    </cfRule>
    <cfRule type="expression" dxfId="852" priority="1777">
      <formula>AND($L$156=100%,$B$158="")</formula>
    </cfRule>
  </conditionalFormatting>
  <conditionalFormatting sqref="M156">
    <cfRule type="expression" dxfId="851" priority="1762">
      <formula>AND(M156&lt;100%,M156&lt;&gt;"",B158="")</formula>
    </cfRule>
    <cfRule type="expression" dxfId="850" priority="1776">
      <formula>AND($M$156=100%,$B$158="")</formula>
    </cfRule>
  </conditionalFormatting>
  <conditionalFormatting sqref="H59">
    <cfRule type="expression" dxfId="849" priority="1775">
      <formula>AND($H$72&gt;100%,$H$71&lt;&gt;"")</formula>
    </cfRule>
  </conditionalFormatting>
  <conditionalFormatting sqref="I59">
    <cfRule type="expression" dxfId="848" priority="1774">
      <formula>AND($I$72&gt;100%,$I$71&lt;&gt;"")</formula>
    </cfRule>
  </conditionalFormatting>
  <conditionalFormatting sqref="J59">
    <cfRule type="expression" dxfId="847" priority="1773">
      <formula>AND($J$72&gt;100%,$J$71&lt;&gt;"")</formula>
    </cfRule>
  </conditionalFormatting>
  <conditionalFormatting sqref="K59">
    <cfRule type="expression" dxfId="846" priority="1772">
      <formula>AND($K$72&gt;100%,$K$71&lt;&gt;"")</formula>
    </cfRule>
  </conditionalFormatting>
  <conditionalFormatting sqref="L59">
    <cfRule type="expression" dxfId="845" priority="1771">
      <formula>AND($L$72&gt;100%,$L$71&lt;&gt;"")</formula>
    </cfRule>
  </conditionalFormatting>
  <conditionalFormatting sqref="M59">
    <cfRule type="expression" dxfId="844" priority="1770">
      <formula>AND($M$72&gt;100%,$M$71&lt;&gt;"")</formula>
    </cfRule>
  </conditionalFormatting>
  <conditionalFormatting sqref="B195:D195">
    <cfRule type="expression" dxfId="843" priority="1753">
      <formula>B195&lt;&gt;""</formula>
    </cfRule>
  </conditionalFormatting>
  <conditionalFormatting sqref="N194">
    <cfRule type="expression" dxfId="842" priority="1719">
      <formula>AND(N194=100%,$B$196="")</formula>
    </cfRule>
    <cfRule type="expression" dxfId="841" priority="1743">
      <formula>AND(N173&lt;&gt;"",N194&lt;100%,N194&lt;&gt;"",$B$196="")</formula>
    </cfRule>
  </conditionalFormatting>
  <conditionalFormatting sqref="B196:N196">
    <cfRule type="expression" dxfId="840" priority="1718">
      <formula>B196&lt;&gt;""</formula>
    </cfRule>
  </conditionalFormatting>
  <conditionalFormatting sqref="F193">
    <cfRule type="expression" dxfId="839" priority="1528">
      <formula>AND($F$193&lt;$F$174,$F$193&lt;&gt;"")</formula>
    </cfRule>
    <cfRule type="expression" dxfId="838" priority="1651">
      <formula>AND($F$193&gt;$F$174,$F$193&lt;&gt;"")</formula>
    </cfRule>
    <cfRule type="expression" dxfId="837" priority="1680">
      <formula>AND($F$193&lt;&gt;$F$174,$F$174&lt;&gt;"",$F$193="")</formula>
    </cfRule>
  </conditionalFormatting>
  <conditionalFormatting sqref="G193">
    <cfRule type="expression" dxfId="836" priority="1527">
      <formula>AND($G$193&lt;$G$174,$G$193&lt;&gt;"")</formula>
    </cfRule>
    <cfRule type="expression" dxfId="835" priority="1650">
      <formula>AND($G$193&gt;$G$174,$G$193&lt;&gt;"")</formula>
    </cfRule>
    <cfRule type="expression" dxfId="834" priority="1679">
      <formula>AND($G$193&lt;&gt;$G$174,$G$174&lt;&gt;"",$G$193="")</formula>
    </cfRule>
  </conditionalFormatting>
  <conditionalFormatting sqref="H193">
    <cfRule type="expression" dxfId="833" priority="1526">
      <formula>AND($H$193&lt;$H$174,$H$193&lt;&gt;"")</formula>
    </cfRule>
    <cfRule type="expression" dxfId="832" priority="1649">
      <formula>AND($H$193&gt;$H$174,$H$193&lt;&gt;"")</formula>
    </cfRule>
    <cfRule type="expression" dxfId="831" priority="1678">
      <formula>AND($H$193&lt;&gt;$H$174,$H$174&lt;&gt;"",$H$193="")</formula>
    </cfRule>
  </conditionalFormatting>
  <conditionalFormatting sqref="I193">
    <cfRule type="expression" dxfId="830" priority="1525">
      <formula>AND($I$193&lt;$I$174,$I$193&lt;&gt;"")</formula>
    </cfRule>
    <cfRule type="expression" dxfId="829" priority="1648">
      <formula>AND($I$193&gt;$I$174,$I$193&lt;&gt;"")</formula>
    </cfRule>
    <cfRule type="expression" dxfId="828" priority="1677">
      <formula>AND($I$193&lt;&gt;$I$174,$I$174&lt;&gt;"",$I$193="")</formula>
    </cfRule>
  </conditionalFormatting>
  <conditionalFormatting sqref="J193">
    <cfRule type="expression" dxfId="827" priority="1524">
      <formula>AND($J$193&lt;$J$174,$J$193&lt;&gt;"")</formula>
    </cfRule>
    <cfRule type="expression" dxfId="826" priority="1647">
      <formula>AND($J$193&gt;$J$174,$J$193&lt;&gt;"")</formula>
    </cfRule>
    <cfRule type="expression" dxfId="825" priority="1676">
      <formula>AND($J$193&lt;&gt;$J$174,$J$174&lt;&gt;"",$J$193="")</formula>
    </cfRule>
  </conditionalFormatting>
  <conditionalFormatting sqref="K193">
    <cfRule type="expression" dxfId="824" priority="1523">
      <formula>AND($K$193&lt;$K$174,$K$193&lt;&gt;"")</formula>
    </cfRule>
    <cfRule type="expression" dxfId="823" priority="1646">
      <formula>AND($K$193&gt;$K$174,$K$193&lt;&gt;"")</formula>
    </cfRule>
    <cfRule type="expression" dxfId="822" priority="1675">
      <formula>AND($K$193&lt;&gt;$K$174,$K$174&lt;&gt;"",$K$193="")</formula>
    </cfRule>
  </conditionalFormatting>
  <conditionalFormatting sqref="L193">
    <cfRule type="expression" dxfId="821" priority="1522">
      <formula>AND($L$193&lt;$L$174,$L$193&lt;&gt;"")</formula>
    </cfRule>
    <cfRule type="expression" dxfId="820" priority="1645">
      <formula>AND($L$193&gt;$L$174,$L$193&lt;&gt;"")</formula>
    </cfRule>
    <cfRule type="expression" dxfId="819" priority="1674">
      <formula>AND($L$193&lt;&gt;$L$174,$L$174&lt;&gt;"",$L$193="")</formula>
    </cfRule>
  </conditionalFormatting>
  <conditionalFormatting sqref="M193">
    <cfRule type="expression" dxfId="818" priority="1521">
      <formula>AND($M$193&lt;$M$174,$M$193&lt;&gt;"")</formula>
    </cfRule>
    <cfRule type="expression" dxfId="817" priority="1644">
      <formula>AND($M$193&gt;$M$174,$M$193&lt;&gt;"")</formula>
    </cfRule>
    <cfRule type="expression" dxfId="816" priority="1673">
      <formula>AND($M$193&lt;&gt;$M$174,$M$174&lt;&gt;"",$M$193="")</formula>
    </cfRule>
  </conditionalFormatting>
  <conditionalFormatting sqref="F187">
    <cfRule type="expression" dxfId="815" priority="1537">
      <formula>AND($F$187&lt;$F$174,$F$187&lt;&gt;"")</formula>
    </cfRule>
    <cfRule type="expression" dxfId="814" priority="1660">
      <formula>AND($F$187&gt;$F$174,$F$187&lt;&gt;"")</formula>
    </cfRule>
    <cfRule type="expression" dxfId="813" priority="1689">
      <formula>AND($F$187&lt;&gt;$F$174,$F$174&lt;&gt;"",$F$187="")</formula>
    </cfRule>
  </conditionalFormatting>
  <conditionalFormatting sqref="G187">
    <cfRule type="expression" dxfId="812" priority="1536">
      <formula>AND($G$187&lt;$G$174,$G$187&lt;&gt;"")</formula>
    </cfRule>
    <cfRule type="expression" dxfId="811" priority="1659">
      <formula>AND($G$187&gt;$G$174,$G$187&lt;&gt;"")</formula>
    </cfRule>
    <cfRule type="expression" dxfId="810" priority="1688">
      <formula>AND($G$187&lt;&gt;$G$174,$G$174&lt;&gt;"",$G$187="")</formula>
    </cfRule>
  </conditionalFormatting>
  <conditionalFormatting sqref="H187">
    <cfRule type="expression" dxfId="809" priority="1535">
      <formula>AND($H$187&lt;$H$174,$H$187&lt;&gt;"")</formula>
    </cfRule>
    <cfRule type="expression" dxfId="808" priority="1658">
      <formula>AND($H$187&gt;$H$174,$H$187&lt;&gt;"")</formula>
    </cfRule>
    <cfRule type="expression" dxfId="807" priority="1687">
      <formula>AND($H$187&lt;&gt;$H$174,$H$174&lt;&gt;"",$H$187="")</formula>
    </cfRule>
  </conditionalFormatting>
  <conditionalFormatting sqref="I187">
    <cfRule type="expression" dxfId="806" priority="1534">
      <formula>AND($I$187&lt;$I$174,$I$187&lt;&gt;"")</formula>
    </cfRule>
    <cfRule type="expression" dxfId="805" priority="1657">
      <formula>AND($I$187&gt;$I$174,$I$187&lt;&gt;"")</formula>
    </cfRule>
    <cfRule type="expression" dxfId="804" priority="1686">
      <formula>AND($I$187&lt;&gt;$I$174,$I$174&lt;&gt;"",$I$187="")</formula>
    </cfRule>
  </conditionalFormatting>
  <conditionalFormatting sqref="J187">
    <cfRule type="expression" dxfId="803" priority="1533">
      <formula>AND($J$187&lt;$J$174,$J$187&lt;&gt;"")</formula>
    </cfRule>
    <cfRule type="expression" dxfId="802" priority="1656">
      <formula>AND($J$187&gt;$J$174,$J$187&lt;&gt;"")</formula>
    </cfRule>
    <cfRule type="expression" dxfId="801" priority="1685">
      <formula>AND($J$187&lt;&gt;$J$174,$J$174&lt;&gt;"",$J$187="")</formula>
    </cfRule>
  </conditionalFormatting>
  <conditionalFormatting sqref="K187">
    <cfRule type="expression" dxfId="800" priority="1532">
      <formula>AND($K$187&lt;$K$174,$K$187&lt;&gt;"")</formula>
    </cfRule>
    <cfRule type="expression" dxfId="799" priority="1655">
      <formula>AND($K$187&gt;$K$174,$K$187&lt;&gt;"")</formula>
    </cfRule>
    <cfRule type="expression" dxfId="798" priority="1684">
      <formula>AND($K$187&lt;&gt;$K$174,$K$174&lt;&gt;"",$K$187="")</formula>
    </cfRule>
  </conditionalFormatting>
  <conditionalFormatting sqref="L187">
    <cfRule type="expression" dxfId="797" priority="1531">
      <formula>AND($L$187&lt;$L$174,$L$187&lt;&gt;"")</formula>
    </cfRule>
    <cfRule type="expression" dxfId="796" priority="1654">
      <formula>AND($L$187&gt;$L$174,$L$187&lt;&gt;"")</formula>
    </cfRule>
    <cfRule type="expression" dxfId="795" priority="1683">
      <formula>AND($L$187&lt;&gt;$L$174,$L$174&lt;&gt;"",$L$187="")</formula>
    </cfRule>
  </conditionalFormatting>
  <conditionalFormatting sqref="M187">
    <cfRule type="expression" dxfId="794" priority="1530">
      <formula>AND($M$187&lt;$M$174,$M$187&lt;&gt;"")</formula>
    </cfRule>
    <cfRule type="expression" dxfId="793" priority="1653">
      <formula>AND($M$187&gt;$M$174,$M$187&lt;&gt;"")</formula>
    </cfRule>
    <cfRule type="expression" dxfId="792" priority="1682">
      <formula>AND($M$187&lt;&gt;$M$174,$M$174&lt;&gt;"",$M$187="")</formula>
    </cfRule>
  </conditionalFormatting>
  <conditionalFormatting sqref="G73">
    <cfRule type="expression" dxfId="791" priority="2204">
      <formula>AND($G$73&gt;=0.7,$G$73&lt;&gt;"",$B$75="")</formula>
    </cfRule>
    <cfRule type="expression" dxfId="790" priority="2211">
      <formula>AND($G$73&lt;0.7,$G$72&lt;=100%,$G$72&gt;0,$B$75="")</formula>
    </cfRule>
  </conditionalFormatting>
  <conditionalFormatting sqref="H73">
    <cfRule type="expression" dxfId="789" priority="913">
      <formula>AND($H$73&gt;=0.7,$H$73&lt;&gt;"",$B$75="")</formula>
    </cfRule>
    <cfRule type="expression" dxfId="788" priority="1615">
      <formula>AND($H$73&lt;0.7,$H$72&lt;=100%,$H$72&gt;0,$B$75="")</formula>
    </cfRule>
  </conditionalFormatting>
  <conditionalFormatting sqref="I73">
    <cfRule type="expression" dxfId="787" priority="912">
      <formula>AND($I$73&gt;=0.7,$I$73&lt;&gt;"",$B$75="")</formula>
    </cfRule>
    <cfRule type="expression" dxfId="786" priority="1614">
      <formula>AND($I$73&lt;0.7,$I$72&lt;=100%,$I$72&gt;0,$B$75="")</formula>
    </cfRule>
  </conditionalFormatting>
  <conditionalFormatting sqref="J73">
    <cfRule type="expression" dxfId="785" priority="911">
      <formula>AND($J$73&gt;=0.7,$J$73&lt;&gt;"",$B$75="")</formula>
    </cfRule>
    <cfRule type="expression" dxfId="784" priority="1613">
      <formula>AND($J$73&lt;0.7,$J$72&lt;=100%,$J$72&gt;0,$B$75="")</formula>
    </cfRule>
  </conditionalFormatting>
  <conditionalFormatting sqref="K73">
    <cfRule type="expression" dxfId="783" priority="910">
      <formula>AND($K$73&gt;=0.7,$K$73&lt;&gt;"",$B$75="")</formula>
    </cfRule>
    <cfRule type="expression" dxfId="782" priority="1612">
      <formula>AND($K$73&lt;0.7,$K$72&lt;=100%,$K$72&gt;0,$B$75="")</formula>
    </cfRule>
  </conditionalFormatting>
  <conditionalFormatting sqref="L73">
    <cfRule type="expression" dxfId="781" priority="909">
      <formula>AND($L$73&gt;=0.7,$L$73&lt;&gt;"",$B$75="")</formula>
    </cfRule>
    <cfRule type="expression" dxfId="780" priority="1611">
      <formula>AND($L$73&lt;0.7,$L$72&lt;=100%,$L$72&gt;0,$B$75="")</formula>
    </cfRule>
  </conditionalFormatting>
  <conditionalFormatting sqref="M73">
    <cfRule type="expression" dxfId="779" priority="908">
      <formula>AND($M$73&gt;=0.7,$M$73&lt;&gt;"",$B$75="")</formula>
    </cfRule>
    <cfRule type="expression" dxfId="778" priority="1610">
      <formula>AND($M$73&lt;0.7,$M$72&lt;=100%,$M$72&gt;0,$B$75="")</formula>
    </cfRule>
  </conditionalFormatting>
  <conditionalFormatting sqref="C439:N439">
    <cfRule type="expression" dxfId="777" priority="1512">
      <formula>D432&lt;&gt;""</formula>
    </cfRule>
  </conditionalFormatting>
  <conditionalFormatting sqref="C440:N440">
    <cfRule type="expression" dxfId="776" priority="1511">
      <formula>D432&lt;&gt;""</formula>
    </cfRule>
  </conditionalFormatting>
  <conditionalFormatting sqref="E71:E73 F72:M72">
    <cfRule type="expression" dxfId="775" priority="1171">
      <formula>AND($E$72&gt;100%,$E$71&lt;&gt;"")</formula>
    </cfRule>
  </conditionalFormatting>
  <conditionalFormatting sqref="F71 F73">
    <cfRule type="expression" dxfId="774" priority="1170">
      <formula>AND($F$72&gt;100%,$F$71&lt;&gt;"")</formula>
    </cfRule>
  </conditionalFormatting>
  <conditionalFormatting sqref="CA124">
    <cfRule type="expression" dxfId="773" priority="1050">
      <formula>P127&lt;&gt;""</formula>
    </cfRule>
  </conditionalFormatting>
  <conditionalFormatting sqref="CA161">
    <cfRule type="expression" dxfId="772" priority="1049">
      <formula>P164&lt;&gt;""</formula>
    </cfRule>
  </conditionalFormatting>
  <conditionalFormatting sqref="BM106:BQ106">
    <cfRule type="expression" dxfId="771" priority="1039">
      <formula>P109&lt;&gt;""</formula>
    </cfRule>
  </conditionalFormatting>
  <conditionalFormatting sqref="D436">
    <cfRule type="expression" dxfId="770" priority="981">
      <formula>D436&lt;&gt;""</formula>
    </cfRule>
  </conditionalFormatting>
  <conditionalFormatting sqref="O16">
    <cfRule type="expression" dxfId="769" priority="2691">
      <formula>P16=1</formula>
    </cfRule>
  </conditionalFormatting>
  <conditionalFormatting sqref="O39">
    <cfRule type="expression" dxfId="768" priority="964">
      <formula>P39=1</formula>
    </cfRule>
  </conditionalFormatting>
  <conditionalFormatting sqref="O73">
    <cfRule type="expression" dxfId="767" priority="963">
      <formula>P73=1</formula>
    </cfRule>
  </conditionalFormatting>
  <conditionalFormatting sqref="O68">
    <cfRule type="expression" dxfId="766" priority="962">
      <formula>P68=1</formula>
    </cfRule>
  </conditionalFormatting>
  <conditionalFormatting sqref="O67">
    <cfRule type="expression" dxfId="765" priority="961">
      <formula>P67=1</formula>
    </cfRule>
  </conditionalFormatting>
  <conditionalFormatting sqref="O66">
    <cfRule type="expression" dxfId="764" priority="960">
      <formula>P66=1</formula>
    </cfRule>
  </conditionalFormatting>
  <conditionalFormatting sqref="O63">
    <cfRule type="expression" dxfId="763" priority="959">
      <formula>Q62=1</formula>
    </cfRule>
  </conditionalFormatting>
  <conditionalFormatting sqref="O62">
    <cfRule type="expression" dxfId="762" priority="958">
      <formula>P62=1</formula>
    </cfRule>
  </conditionalFormatting>
  <conditionalFormatting sqref="O61">
    <cfRule type="expression" dxfId="761" priority="957">
      <formula>P61=1</formula>
    </cfRule>
  </conditionalFormatting>
  <conditionalFormatting sqref="O25">
    <cfRule type="expression" dxfId="760" priority="956">
      <formula>P25=1</formula>
    </cfRule>
  </conditionalFormatting>
  <conditionalFormatting sqref="O18">
    <cfRule type="expression" dxfId="759" priority="955">
      <formula>P18=1</formula>
    </cfRule>
  </conditionalFormatting>
  <conditionalFormatting sqref="O20">
    <cfRule type="expression" dxfId="758" priority="954">
      <formula>P20=1</formula>
    </cfRule>
  </conditionalFormatting>
  <conditionalFormatting sqref="O23">
    <cfRule type="expression" dxfId="757" priority="953">
      <formula>P23=1</formula>
    </cfRule>
  </conditionalFormatting>
  <conditionalFormatting sqref="O426">
    <cfRule type="expression" dxfId="756" priority="952">
      <formula>P426=1</formula>
    </cfRule>
  </conditionalFormatting>
  <conditionalFormatting sqref="O428">
    <cfRule type="expression" dxfId="755" priority="951">
      <formula>P428=1</formula>
    </cfRule>
  </conditionalFormatting>
  <conditionalFormatting sqref="O37">
    <cfRule type="expression" dxfId="754" priority="950">
      <formula>P37=1</formula>
    </cfRule>
  </conditionalFormatting>
  <conditionalFormatting sqref="O115">
    <cfRule type="expression" dxfId="753" priority="918">
      <formula>P115=1</formula>
    </cfRule>
  </conditionalFormatting>
  <conditionalFormatting sqref="O116">
    <cfRule type="expression" dxfId="752" priority="917">
      <formula>P116=1</formula>
    </cfRule>
  </conditionalFormatting>
  <conditionalFormatting sqref="O118">
    <cfRule type="expression" dxfId="751" priority="916">
      <formula>P117=1</formula>
    </cfRule>
  </conditionalFormatting>
  <conditionalFormatting sqref="O132">
    <cfRule type="expression" dxfId="750" priority="915">
      <formula>O132&lt;&gt;""</formula>
    </cfRule>
  </conditionalFormatting>
  <conditionalFormatting sqref="O156">
    <cfRule type="expression" dxfId="749" priority="914">
      <formula>P156=1</formula>
    </cfRule>
  </conditionalFormatting>
  <conditionalFormatting sqref="B74:N74">
    <cfRule type="expression" dxfId="748" priority="906">
      <formula>AND(N73&gt;=0.7,B74&lt;&gt;"")</formula>
    </cfRule>
    <cfRule type="expression" dxfId="747" priority="907">
      <formula>AND(N73&lt;0.7,B74&lt;&gt;"")</formula>
    </cfRule>
  </conditionalFormatting>
  <conditionalFormatting sqref="E194">
    <cfRule type="expression" dxfId="746" priority="1720">
      <formula>AND(E194&lt;100%,E194&lt;&gt;"",B196="")</formula>
    </cfRule>
    <cfRule type="expression" dxfId="745" priority="1750">
      <formula>AND($E$194=100%,$B$196="")</formula>
    </cfRule>
  </conditionalFormatting>
  <conditionalFormatting sqref="F194">
    <cfRule type="expression" dxfId="744" priority="897">
      <formula>AND(F194&lt;100%,F194&lt;&gt;"",B196="")</formula>
    </cfRule>
    <cfRule type="expression" dxfId="743" priority="905">
      <formula>AND($F$194=100%,$B$196="")</formula>
    </cfRule>
  </conditionalFormatting>
  <conditionalFormatting sqref="G194">
    <cfRule type="expression" dxfId="742" priority="896">
      <formula>AND(G194&lt;100%,G194&lt;&gt;"",B196="")</formula>
    </cfRule>
    <cfRule type="expression" dxfId="741" priority="904">
      <formula>AND($G$194=100%,$B$196="")</formula>
    </cfRule>
  </conditionalFormatting>
  <conditionalFormatting sqref="H194">
    <cfRule type="expression" dxfId="740" priority="895">
      <formula>AND(H194&lt;100%,H194&lt;&gt;"",B196="")</formula>
    </cfRule>
    <cfRule type="expression" dxfId="739" priority="903">
      <formula>AND($H$194=100%,$B$196="")</formula>
    </cfRule>
  </conditionalFormatting>
  <conditionalFormatting sqref="I194">
    <cfRule type="expression" dxfId="738" priority="894">
      <formula>AND(I194&lt;100%,I194&lt;&gt;"",B196="")</formula>
    </cfRule>
    <cfRule type="expression" dxfId="737" priority="902">
      <formula>AND($I$194=100%,$B$196="")</formula>
    </cfRule>
  </conditionalFormatting>
  <conditionalFormatting sqref="J194">
    <cfRule type="expression" dxfId="736" priority="893">
      <formula>AND(J194&lt;100%,J194&lt;&gt;"",B196="")</formula>
    </cfRule>
    <cfRule type="expression" dxfId="735" priority="901">
      <formula>AND($J$194=100%,$B$196="")</formula>
    </cfRule>
  </conditionalFormatting>
  <conditionalFormatting sqref="K194">
    <cfRule type="expression" dxfId="734" priority="892">
      <formula>AND(K194&lt;100%,K194&lt;&gt;"",B196="")</formula>
    </cfRule>
    <cfRule type="expression" dxfId="733" priority="900">
      <formula>AND($K$194=100%,$B$196="")</formula>
    </cfRule>
  </conditionalFormatting>
  <conditionalFormatting sqref="L194">
    <cfRule type="expression" dxfId="732" priority="891">
      <formula>AND(L194&lt;100%,L194&lt;&gt;"",B196="")</formula>
    </cfRule>
    <cfRule type="expression" dxfId="731" priority="899">
      <formula>AND($L$194=100%,$B$196="")</formula>
    </cfRule>
  </conditionalFormatting>
  <conditionalFormatting sqref="M194">
    <cfRule type="expression" dxfId="730" priority="890">
      <formula>AND(M194&lt;100%,M194&lt;&gt;"",B196="")</formula>
    </cfRule>
    <cfRule type="expression" dxfId="729" priority="898">
      <formula>AND($M$194=100%,$B$196="")</formula>
    </cfRule>
  </conditionalFormatting>
  <conditionalFormatting sqref="O194">
    <cfRule type="expression" dxfId="728" priority="888">
      <formula>O194&lt;&gt;""</formula>
    </cfRule>
  </conditionalFormatting>
  <conditionalFormatting sqref="O44">
    <cfRule type="expression" dxfId="727" priority="887">
      <formula>O44&lt;&gt;""</formula>
    </cfRule>
  </conditionalFormatting>
  <conditionalFormatting sqref="O208">
    <cfRule type="expression" dxfId="726" priority="886">
      <formula>O208&lt;&gt;""</formula>
    </cfRule>
  </conditionalFormatting>
  <conditionalFormatting sqref="O330">
    <cfRule type="expression" dxfId="725" priority="884">
      <formula>O330&lt;&gt;""</formula>
    </cfRule>
  </conditionalFormatting>
  <conditionalFormatting sqref="O430">
    <cfRule type="expression" dxfId="724" priority="883">
      <formula>O430&lt;&gt;""</formula>
    </cfRule>
  </conditionalFormatting>
  <conditionalFormatting sqref="O81">
    <cfRule type="expression" dxfId="723" priority="882">
      <formula>O81&lt;&gt;""</formula>
    </cfRule>
  </conditionalFormatting>
  <conditionalFormatting sqref="O83">
    <cfRule type="expression" dxfId="722" priority="881">
      <formula>O83&lt;&gt;""</formula>
    </cfRule>
  </conditionalFormatting>
  <conditionalFormatting sqref="BR104">
    <cfRule type="expression" dxfId="721" priority="2714">
      <formula>T107&lt;&gt;""</formula>
    </cfRule>
  </conditionalFormatting>
  <conditionalFormatting sqref="E118">
    <cfRule type="expression" dxfId="720" priority="2010" stopIfTrue="1">
      <formula>AND($E$118&gt;=0.7,$E$118&lt;=100%,$B$120="")</formula>
    </cfRule>
    <cfRule type="expression" dxfId="719" priority="2021" stopIfTrue="1">
      <formula>AND($E$118&lt;0.7,$E$115&lt;&gt;"",$E$116&lt;&gt;"",$B$120="")</formula>
    </cfRule>
  </conditionalFormatting>
  <conditionalFormatting sqref="F118">
    <cfRule type="expression" dxfId="718" priority="475">
      <formula>AND($F$118&gt;100%,$F$117&lt;&gt;"")</formula>
    </cfRule>
    <cfRule type="expression" dxfId="717" priority="661">
      <formula>AND($F$118&gt;=0.7,$F$118&lt;=100%,$B$120="")</formula>
    </cfRule>
    <cfRule type="expression" dxfId="716" priority="669">
      <formula>AND($F$118&lt;0.7,$F$115&lt;&gt;"",$F$116&lt;&gt;"",$B$120="")</formula>
    </cfRule>
  </conditionalFormatting>
  <conditionalFormatting sqref="G118">
    <cfRule type="expression" dxfId="715" priority="474">
      <formula>AND($G$118&gt;100%,$G$117&lt;&gt;"")</formula>
    </cfRule>
    <cfRule type="expression" dxfId="714" priority="660">
      <formula>AND($G$118&gt;=0.7,$G$118&lt;=100%,$B$120="")</formula>
    </cfRule>
    <cfRule type="expression" dxfId="713" priority="668">
      <formula>AND($G$118&lt;0.7,$G$115&lt;&gt;"",$G$116&lt;&gt;"",$B$120="")</formula>
    </cfRule>
  </conditionalFormatting>
  <conditionalFormatting sqref="H118">
    <cfRule type="expression" dxfId="712" priority="473">
      <formula>AND($H$118&gt;100%,$H$117&lt;&gt;"")</formula>
    </cfRule>
    <cfRule type="expression" dxfId="711" priority="659">
      <formula>AND($H$118&gt;=0.7,$H$118&lt;=100%,$B$120="")</formula>
    </cfRule>
    <cfRule type="expression" dxfId="710" priority="667">
      <formula>AND($H$118&lt;0.7,$H$115&lt;&gt;"",$H$116&lt;&gt;"",$B$120="")</formula>
    </cfRule>
  </conditionalFormatting>
  <conditionalFormatting sqref="I118">
    <cfRule type="expression" dxfId="709" priority="472">
      <formula>AND($I$118&gt;100%,$I$117&lt;&gt;"")</formula>
    </cfRule>
    <cfRule type="expression" dxfId="708" priority="658">
      <formula>AND($I$118&gt;=0.7,$I$118&lt;=100%,$B$120="")</formula>
    </cfRule>
    <cfRule type="expression" dxfId="707" priority="666">
      <formula>AND($I$118&lt;0.7,$I$115&lt;&gt;"",$I$116&lt;&gt;"",$B$120="")</formula>
    </cfRule>
  </conditionalFormatting>
  <conditionalFormatting sqref="J118">
    <cfRule type="expression" dxfId="706" priority="471">
      <formula>AND($J$118&gt;100%,$J$117&lt;&gt;"")</formula>
    </cfRule>
    <cfRule type="expression" dxfId="705" priority="657">
      <formula>AND($J$118&gt;=0.7,$J$118&lt;=100%,$B$120="")</formula>
    </cfRule>
    <cfRule type="expression" dxfId="704" priority="665">
      <formula>AND($J$118&lt;0.7,$J$115&lt;&gt;"",$J$116&lt;&gt;"",$B$120="")</formula>
    </cfRule>
  </conditionalFormatting>
  <conditionalFormatting sqref="K118">
    <cfRule type="expression" dxfId="703" priority="470">
      <formula>AND($K$118&gt;100%,$K$117&lt;&gt;"")</formula>
    </cfRule>
    <cfRule type="expression" dxfId="702" priority="656">
      <formula>AND($K$118&gt;=0.7,$K$118&lt;=100%,$B$120="")</formula>
    </cfRule>
    <cfRule type="expression" dxfId="701" priority="664">
      <formula>AND($K$118&lt;0.7,$K$115&lt;&gt;"",$K$116&lt;&gt;"",$B$120="")</formula>
    </cfRule>
  </conditionalFormatting>
  <conditionalFormatting sqref="L118">
    <cfRule type="expression" dxfId="700" priority="469">
      <formula>AND($L$118&gt;100%,$L$117&lt;&gt;"")</formula>
    </cfRule>
    <cfRule type="expression" dxfId="699" priority="655">
      <formula>AND($L$118&gt;=0.7,$L$118&lt;=100%,$B$120="")</formula>
    </cfRule>
    <cfRule type="expression" dxfId="698" priority="663">
      <formula>AND($L$118&lt;0.7,$L$115&lt;&gt;"",$L$116&lt;&gt;"",$B$120="")</formula>
    </cfRule>
  </conditionalFormatting>
  <conditionalFormatting sqref="M118">
    <cfRule type="expression" dxfId="697" priority="468">
      <formula>AND($M$118&gt;100%,$M$117&lt;&gt;"")</formula>
    </cfRule>
    <cfRule type="expression" dxfId="696" priority="654">
      <formula>AND($M$118&gt;=0.7,$M$118&lt;=100%,$B$120="")</formula>
    </cfRule>
    <cfRule type="expression" dxfId="695" priority="662">
      <formula>AND($M$118&lt;0.7,$M$115&lt;&gt;"",$M$116&lt;&gt;"",$B$120="")</formula>
    </cfRule>
  </conditionalFormatting>
  <conditionalFormatting sqref="G96">
    <cfRule type="expression" dxfId="694" priority="633">
      <formula>AND($G$96&gt;=0.7,$G$96&lt;=100%,G96&lt;&gt;0,$B$98="")</formula>
    </cfRule>
    <cfRule type="expression" dxfId="693" priority="649">
      <formula>AND($G$96&lt;0.7,$G$93&lt;&gt;"",$G$94&lt;&gt;"",$B$98="")</formula>
    </cfRule>
  </conditionalFormatting>
  <conditionalFormatting sqref="H96">
    <cfRule type="expression" dxfId="692" priority="632">
      <formula>AND($H$96&gt;=0.7,$H$96&lt;=100%,H96&lt;&gt;0,$B$98="")</formula>
    </cfRule>
    <cfRule type="expression" dxfId="691" priority="648">
      <formula>AND($H$96&lt;0.7,$H$93&lt;&gt;"",$H$94&lt;&gt;"",$B$98="")</formula>
    </cfRule>
  </conditionalFormatting>
  <conditionalFormatting sqref="I96">
    <cfRule type="expression" dxfId="690" priority="631">
      <formula>AND($I$96&gt;=0.7,$I$96&lt;=100%,I96&lt;&gt;0,$B$98="")</formula>
    </cfRule>
    <cfRule type="expression" dxfId="689" priority="647">
      <formula>AND($I$96&lt;0.7,$I$93&lt;&gt;"",$I$94&lt;&gt;"",$B$98="")</formula>
    </cfRule>
  </conditionalFormatting>
  <conditionalFormatting sqref="J96">
    <cfRule type="expression" dxfId="688" priority="630">
      <formula>AND($J$96&gt;=0.7,$J$96&lt;=100%,J96&lt;&gt;0,$B$98="")</formula>
    </cfRule>
    <cfRule type="expression" dxfId="687" priority="646">
      <formula>AND($J$96&lt;0.7,$J$93&lt;&gt;"",$J$94&lt;&gt;"",$B$98="")</formula>
    </cfRule>
  </conditionalFormatting>
  <conditionalFormatting sqref="K96">
    <cfRule type="expression" dxfId="686" priority="629">
      <formula>AND($K$96&gt;=0.7,$K$96&lt;=100%,K96&lt;&gt;0,$B$98="")</formula>
    </cfRule>
    <cfRule type="expression" dxfId="685" priority="645">
      <formula>AND($K$96&lt;0.7,$K$93&lt;&gt;"",$K$94&lt;&gt;"",$B$98="")</formula>
    </cfRule>
  </conditionalFormatting>
  <conditionalFormatting sqref="L96">
    <cfRule type="expression" dxfId="684" priority="628">
      <formula>AND($L$96&gt;=0.7,$L$96&lt;=100%,L96&lt;&gt;0,$B$98="")</formula>
    </cfRule>
    <cfRule type="expression" dxfId="683" priority="644">
      <formula>AND($L$96&lt;0.7,$L$93&lt;&gt;"",$L$94&lt;&gt;"",$B$98="")</formula>
    </cfRule>
  </conditionalFormatting>
  <conditionalFormatting sqref="M96">
    <cfRule type="expression" dxfId="682" priority="627">
      <formula>AND($M$96&gt;=0.7,$M$96&lt;=100%,M96&lt;&gt;0,$B$98="")</formula>
    </cfRule>
    <cfRule type="expression" dxfId="681" priority="643">
      <formula>AND($M$96&lt;0.7,$M$93&lt;&gt;"",$M$94&lt;&gt;"",$B$98="")</formula>
    </cfRule>
  </conditionalFormatting>
  <conditionalFormatting sqref="O84">
    <cfRule type="expression" dxfId="680" priority="600">
      <formula>O84&lt;&gt;""</formula>
    </cfRule>
  </conditionalFormatting>
  <conditionalFormatting sqref="G84:H84">
    <cfRule type="expression" dxfId="679" priority="595">
      <formula>AND($G$81="No",$G$84="")</formula>
    </cfRule>
    <cfRule type="expression" dxfId="678" priority="599">
      <formula>G81="No"</formula>
    </cfRule>
  </conditionalFormatting>
  <conditionalFormatting sqref="B97:C97">
    <cfRule type="expression" dxfId="677" priority="598">
      <formula>AND(N95="",N96="",B97&lt;&gt;"")</formula>
    </cfRule>
  </conditionalFormatting>
  <conditionalFormatting sqref="G81:H82">
    <cfRule type="expression" dxfId="676" priority="596">
      <formula>$B$81&lt;&gt;""</formula>
    </cfRule>
  </conditionalFormatting>
  <conditionalFormatting sqref="E96:M96">
    <cfRule type="expression" dxfId="675" priority="2233" stopIfTrue="1">
      <formula>AND(E$96&gt;=0.7,E$96&lt;=100%,$B$98="")</formula>
    </cfRule>
    <cfRule type="expression" dxfId="674" priority="2521" stopIfTrue="1">
      <formula>AND(E$96&lt;0.7,E$92&lt;&gt;"",E$93&lt;&gt;"",E$94&lt;&gt;"",$B$98="")</formula>
    </cfRule>
  </conditionalFormatting>
  <conditionalFormatting sqref="G94">
    <cfRule type="expression" dxfId="673" priority="570">
      <formula>"AND(G85&gt;G86,G85&lt;&gt;"""",G86&lt;&gt;"""")"</formula>
    </cfRule>
  </conditionalFormatting>
  <conditionalFormatting sqref="E93">
    <cfRule type="expression" dxfId="672" priority="567">
      <formula>AND(E93&lt;&gt;"",E94&lt;&gt;"",E93&gt;E94,B98&lt;&gt;"")</formula>
    </cfRule>
  </conditionalFormatting>
  <conditionalFormatting sqref="E91">
    <cfRule type="expression" dxfId="671" priority="565">
      <formula>AND(E91&lt;E92,B98&lt;&gt;"")</formula>
    </cfRule>
  </conditionalFormatting>
  <conditionalFormatting sqref="F91">
    <cfRule type="expression" dxfId="670" priority="564">
      <formula>AND(F91&lt;F92,B98&lt;&gt;"")</formula>
    </cfRule>
  </conditionalFormatting>
  <conditionalFormatting sqref="G91">
    <cfRule type="expression" dxfId="669" priority="563">
      <formula>AND(G91&lt;G92,B98&lt;&gt;"")</formula>
    </cfRule>
  </conditionalFormatting>
  <conditionalFormatting sqref="H91">
    <cfRule type="expression" dxfId="668" priority="562">
      <formula>AND(H91&lt;H92,B98&lt;&gt;"")</formula>
    </cfRule>
  </conditionalFormatting>
  <conditionalFormatting sqref="I91">
    <cfRule type="expression" dxfId="667" priority="561">
      <formula>AND(I91&lt;I92,B98&lt;&gt;"")</formula>
    </cfRule>
  </conditionalFormatting>
  <conditionalFormatting sqref="J91">
    <cfRule type="expression" dxfId="666" priority="560">
      <formula>AND(J91&lt;J92,B98&lt;&gt;"")</formula>
    </cfRule>
  </conditionalFormatting>
  <conditionalFormatting sqref="K91">
    <cfRule type="expression" dxfId="665" priority="559">
      <formula>AND(K91&lt;K92,B98&lt;&gt;"")</formula>
    </cfRule>
  </conditionalFormatting>
  <conditionalFormatting sqref="L91">
    <cfRule type="expression" dxfId="664" priority="558">
      <formula>AND(L91&lt;L92,B98&lt;&gt;"")</formula>
    </cfRule>
  </conditionalFormatting>
  <conditionalFormatting sqref="M91">
    <cfRule type="expression" dxfId="663" priority="557">
      <formula>AND(M91&lt;M92,B98&lt;&gt;"")</formula>
    </cfRule>
  </conditionalFormatting>
  <conditionalFormatting sqref="F93">
    <cfRule type="expression" dxfId="662" priority="548">
      <formula>AND(F93&lt;&gt;"",F94&lt;&gt;"",F93&gt;F94,B98&lt;&gt;"")</formula>
    </cfRule>
  </conditionalFormatting>
  <conditionalFormatting sqref="G93">
    <cfRule type="expression" dxfId="661" priority="547">
      <formula>AND(G93&lt;&gt;"",G94&lt;&gt;"",G93&gt;G94,B98&lt;&gt;"")</formula>
    </cfRule>
  </conditionalFormatting>
  <conditionalFormatting sqref="H93">
    <cfRule type="expression" dxfId="660" priority="546">
      <formula>AND(H93&lt;&gt;"",H94&lt;&gt;"",H93&gt;H94,B98&lt;&gt;"")</formula>
    </cfRule>
  </conditionalFormatting>
  <conditionalFormatting sqref="I93">
    <cfRule type="expression" dxfId="659" priority="545">
      <formula>AND(I93&lt;&gt;"",I94&lt;&gt;"",I93&gt;I94,B98&lt;&gt;"")</formula>
    </cfRule>
  </conditionalFormatting>
  <conditionalFormatting sqref="J93">
    <cfRule type="expression" dxfId="658" priority="544">
      <formula>AND(J93&lt;&gt;"",J94&lt;&gt;"",J93&gt;J94,B98&lt;&gt;"")</formula>
    </cfRule>
  </conditionalFormatting>
  <conditionalFormatting sqref="K93">
    <cfRule type="expression" dxfId="657" priority="543">
      <formula>AND(K93&lt;&gt;"",K94&lt;&gt;"",K93&gt;K94,B98&lt;&gt;"")</formula>
    </cfRule>
  </conditionalFormatting>
  <conditionalFormatting sqref="L93">
    <cfRule type="expression" dxfId="656" priority="542">
      <formula>AND(L93&lt;&gt;"",L94&lt;&gt;"",L93&gt;L94,B98&lt;&gt;"")</formula>
    </cfRule>
  </conditionalFormatting>
  <conditionalFormatting sqref="M93">
    <cfRule type="expression" dxfId="655" priority="541">
      <formula>AND(M93&lt;&gt;"",M94&lt;&gt;"",M93&gt;M94,B98&lt;&gt;"")</formula>
    </cfRule>
  </conditionalFormatting>
  <conditionalFormatting sqref="AY119">
    <cfRule type="expression" dxfId="654" priority="2783">
      <formula>#REF!="No"</formula>
    </cfRule>
  </conditionalFormatting>
  <conditionalFormatting sqref="BH111">
    <cfRule type="expression" dxfId="653" priority="2784">
      <formula>#REF!="No"</formula>
    </cfRule>
  </conditionalFormatting>
  <conditionalFormatting sqref="BQ110">
    <cfRule type="expression" dxfId="652" priority="2785">
      <formula>#REF!="No"</formula>
    </cfRule>
  </conditionalFormatting>
  <conditionalFormatting sqref="O94">
    <cfRule type="expression" dxfId="651" priority="2787">
      <formula>O94&lt;&gt;""</formula>
    </cfRule>
  </conditionalFormatting>
  <conditionalFormatting sqref="Q91">
    <cfRule type="expression" dxfId="650" priority="507">
      <formula>$Q$88="No"</formula>
    </cfRule>
  </conditionalFormatting>
  <conditionalFormatting sqref="Q95">
    <cfRule type="expression" dxfId="649" priority="505">
      <formula>$Q$88="No"</formula>
    </cfRule>
  </conditionalFormatting>
  <conditionalFormatting sqref="Z83">
    <cfRule type="expression" dxfId="648" priority="502">
      <formula>$Q$88="No"</formula>
    </cfRule>
  </conditionalFormatting>
  <conditionalFormatting sqref="AI95 AP95">
    <cfRule type="expression" dxfId="647" priority="497">
      <formula>AI93="Yes"</formula>
    </cfRule>
  </conditionalFormatting>
  <conditionalFormatting sqref="AR95 AY95">
    <cfRule type="expression" dxfId="646" priority="493">
      <formula>$AR$93="No"</formula>
    </cfRule>
  </conditionalFormatting>
  <conditionalFormatting sqref="BA87">
    <cfRule type="expression" dxfId="645" priority="490">
      <formula>$BA$85="No"</formula>
    </cfRule>
  </conditionalFormatting>
  <conditionalFormatting sqref="BJ86">
    <cfRule type="expression" dxfId="644" priority="486">
      <formula>$BJ$85="No"</formula>
    </cfRule>
  </conditionalFormatting>
  <conditionalFormatting sqref="BV86:CE86">
    <cfRule type="expression" dxfId="643" priority="484">
      <formula>$BV$85="No"</formula>
    </cfRule>
  </conditionalFormatting>
  <conditionalFormatting sqref="O92">
    <cfRule type="expression" dxfId="642" priority="480">
      <formula>O92&lt;&gt;""</formula>
    </cfRule>
  </conditionalFormatting>
  <conditionalFormatting sqref="O93">
    <cfRule type="expression" dxfId="641" priority="479">
      <formula>O93&lt;&gt;""</formula>
    </cfRule>
  </conditionalFormatting>
  <conditionalFormatting sqref="O96">
    <cfRule type="expression" dxfId="640" priority="478">
      <formula>O96&lt;&gt;""</formula>
    </cfRule>
  </conditionalFormatting>
  <conditionalFormatting sqref="J80">
    <cfRule type="expression" dxfId="639" priority="477">
      <formula>AND(G81&lt;&gt;"",G81=0)</formula>
    </cfRule>
  </conditionalFormatting>
  <conditionalFormatting sqref="O172">
    <cfRule type="expression" dxfId="638" priority="434">
      <formula>O195&lt;&gt;""</formula>
    </cfRule>
  </conditionalFormatting>
  <conditionalFormatting sqref="O131">
    <cfRule type="expression" dxfId="637" priority="426">
      <formula>O131&lt;&gt;""</formula>
    </cfRule>
  </conditionalFormatting>
  <conditionalFormatting sqref="AY71">
    <cfRule type="expression" dxfId="636" priority="413">
      <formula>AY72&lt;&gt;""</formula>
    </cfRule>
  </conditionalFormatting>
  <conditionalFormatting sqref="BH64">
    <cfRule type="expression" dxfId="635" priority="409">
      <formula>BG64&lt;&gt;""</formula>
    </cfRule>
  </conditionalFormatting>
  <conditionalFormatting sqref="BH71">
    <cfRule type="expression" dxfId="634" priority="408">
      <formula>BH72&lt;&gt;""</formula>
    </cfRule>
  </conditionalFormatting>
  <conditionalFormatting sqref="BQ56">
    <cfRule type="expression" dxfId="633" priority="407">
      <formula>BQ56&lt;&gt;""</formula>
    </cfRule>
  </conditionalFormatting>
  <conditionalFormatting sqref="BQ71">
    <cfRule type="expression" dxfId="632" priority="406">
      <formula>BQ71&lt;&gt;""</formula>
    </cfRule>
  </conditionalFormatting>
  <conditionalFormatting sqref="BQ85">
    <cfRule type="expression" dxfId="631" priority="391">
      <formula>$BQ$85&lt;&gt;""</formula>
    </cfRule>
  </conditionalFormatting>
  <conditionalFormatting sqref="CF85">
    <cfRule type="expression" dxfId="630" priority="389">
      <formula>$CF$85&lt;&gt;""</formula>
    </cfRule>
  </conditionalFormatting>
  <conditionalFormatting sqref="Y129">
    <cfRule type="expression" dxfId="629" priority="375">
      <formula>$Y$129&lt;&gt;""</formula>
    </cfRule>
  </conditionalFormatting>
  <conditionalFormatting sqref="AI129">
    <cfRule type="expression" dxfId="628" priority="374">
      <formula>$AI$129&lt;&gt;""</formula>
    </cfRule>
  </conditionalFormatting>
  <conditionalFormatting sqref="Y166">
    <cfRule type="expression" dxfId="627" priority="373">
      <formula>$Y$166&lt;&gt;""</formula>
    </cfRule>
  </conditionalFormatting>
  <conditionalFormatting sqref="AI166">
    <cfRule type="expression" dxfId="626" priority="372">
      <formula>$AI$166&lt;&gt;""</formula>
    </cfRule>
  </conditionalFormatting>
  <conditionalFormatting sqref="O210">
    <cfRule type="expression" dxfId="625" priority="370">
      <formula>$O$210&lt;&gt;""</formula>
    </cfRule>
  </conditionalFormatting>
  <conditionalFormatting sqref="H215">
    <cfRule type="expression" dxfId="624" priority="367">
      <formula>$H$215&lt;&gt;""</formula>
    </cfRule>
  </conditionalFormatting>
  <conditionalFormatting sqref="H217">
    <cfRule type="expression" dxfId="623" priority="366">
      <formula>$H$217&lt;&gt;""</formula>
    </cfRule>
  </conditionalFormatting>
  <conditionalFormatting sqref="O243:O244">
    <cfRule type="expression" dxfId="622" priority="363">
      <formula>$O$243&lt;&gt;""</formula>
    </cfRule>
  </conditionalFormatting>
  <conditionalFormatting sqref="CJ243:CJ244">
    <cfRule type="expression" dxfId="621" priority="339">
      <formula>$CJ$243&lt;&gt;""</formula>
    </cfRule>
  </conditionalFormatting>
  <conditionalFormatting sqref="O337">
    <cfRule type="expression" dxfId="620" priority="338">
      <formula>$O$337&lt;&gt;""</formula>
    </cfRule>
  </conditionalFormatting>
  <conditionalFormatting sqref="O290">
    <cfRule type="expression" dxfId="619" priority="335">
      <formula>O290&lt;&gt;""</formula>
    </cfRule>
  </conditionalFormatting>
  <conditionalFormatting sqref="O306">
    <cfRule type="expression" dxfId="618" priority="334">
      <formula>O306&lt;&gt;""</formula>
    </cfRule>
  </conditionalFormatting>
  <conditionalFormatting sqref="O304">
    <cfRule type="expression" dxfId="617" priority="325">
      <formula>O304&lt;&gt;""</formula>
    </cfRule>
  </conditionalFormatting>
  <conditionalFormatting sqref="O292">
    <cfRule type="expression" dxfId="616" priority="324">
      <formula>O292&lt;&gt;""</formula>
    </cfRule>
  </conditionalFormatting>
  <conditionalFormatting sqref="O308">
    <cfRule type="expression" dxfId="615" priority="323">
      <formula>O308&lt;&gt;""</formula>
    </cfRule>
  </conditionalFormatting>
  <conditionalFormatting sqref="O298">
    <cfRule type="expression" dxfId="614" priority="320">
      <formula>O298&lt;&gt;""</formula>
    </cfRule>
  </conditionalFormatting>
  <conditionalFormatting sqref="O300">
    <cfRule type="expression" dxfId="613" priority="319">
      <formula>O300&lt;&gt;""</formula>
    </cfRule>
  </conditionalFormatting>
  <conditionalFormatting sqref="O302">
    <cfRule type="expression" dxfId="612" priority="318">
      <formula>O302&lt;&gt;""</formula>
    </cfRule>
  </conditionalFormatting>
  <conditionalFormatting sqref="O311">
    <cfRule type="expression" dxfId="611" priority="306">
      <formula>O311&lt;&gt;""</formula>
    </cfRule>
  </conditionalFormatting>
  <conditionalFormatting sqref="O313">
    <cfRule type="expression" dxfId="610" priority="305">
      <formula>O313&lt;&gt;""</formula>
    </cfRule>
  </conditionalFormatting>
  <conditionalFormatting sqref="O315">
    <cfRule type="expression" dxfId="609" priority="304">
      <formula>O315&lt;&gt;""</formula>
    </cfRule>
  </conditionalFormatting>
  <conditionalFormatting sqref="O317">
    <cfRule type="expression" dxfId="608" priority="303">
      <formula>O317&lt;&gt;""</formula>
    </cfRule>
  </conditionalFormatting>
  <conditionalFormatting sqref="O318">
    <cfRule type="expression" dxfId="607" priority="300">
      <formula>O318&lt;&gt;""</formula>
    </cfRule>
  </conditionalFormatting>
  <conditionalFormatting sqref="G39">
    <cfRule type="expression" dxfId="606" priority="259">
      <formula>$G$37="No"</formula>
    </cfRule>
    <cfRule type="expression" dxfId="605" priority="299">
      <formula>$G$37="Yes"</formula>
    </cfRule>
  </conditionalFormatting>
  <conditionalFormatting sqref="O323">
    <cfRule type="expression" dxfId="604" priority="297">
      <formula>$O$323&lt;&gt;""</formula>
    </cfRule>
  </conditionalFormatting>
  <conditionalFormatting sqref="O422">
    <cfRule type="expression" dxfId="603" priority="295">
      <formula>$O$422&lt;&gt;""</formula>
    </cfRule>
  </conditionalFormatting>
  <conditionalFormatting sqref="O46">
    <cfRule type="expression" dxfId="602" priority="264">
      <formula>O46&lt;&gt;""</formula>
    </cfRule>
  </conditionalFormatting>
  <conditionalFormatting sqref="I37:N37">
    <cfRule type="expression" dxfId="601" priority="8100">
      <formula>COUNTIF($I$37,"The sponsor's website*")</formula>
    </cfRule>
  </conditionalFormatting>
  <conditionalFormatting sqref="C39:F39">
    <cfRule type="expression" dxfId="600" priority="260">
      <formula>AND($G$37="No",$G$46="No")</formula>
    </cfRule>
  </conditionalFormatting>
  <conditionalFormatting sqref="C46:F46">
    <cfRule type="expression" dxfId="599" priority="258">
      <formula>AND($G$39&lt;&gt;0,$G$44="No")</formula>
    </cfRule>
  </conditionalFormatting>
  <conditionalFormatting sqref="G46">
    <cfRule type="expression" dxfId="598" priority="256">
      <formula>(OR(AND($G$39&gt;=1,$G$44="Yes"),AND($G$39=0,$G$44="Yes")))</formula>
    </cfRule>
    <cfRule type="expression" dxfId="597" priority="257">
      <formula>$G$44="No"</formula>
    </cfRule>
  </conditionalFormatting>
  <conditionalFormatting sqref="E92">
    <cfRule type="expression" dxfId="596" priority="11082">
      <formula>AND(E94&gt;E92,B98&lt;&gt;"")</formula>
    </cfRule>
    <cfRule type="expression" dxfId="595" priority="11083">
      <formula>AND($D$4&lt;&gt;YEAR($E$58), $E$58&lt;&gt;0)</formula>
    </cfRule>
  </conditionalFormatting>
  <conditionalFormatting sqref="F92">
    <cfRule type="expression" dxfId="594" priority="11084">
      <formula>AND(F94&gt;F92,B98&lt;&gt;"")</formula>
    </cfRule>
    <cfRule type="expression" dxfId="593" priority="11085">
      <formula>AND($D$4&lt;&gt;YEAR($F$58), $F$58&lt;&gt;0)</formula>
    </cfRule>
  </conditionalFormatting>
  <conditionalFormatting sqref="G92">
    <cfRule type="expression" dxfId="592" priority="11086">
      <formula>AND(G94&gt;G92,B98&lt;&gt;"")</formula>
    </cfRule>
    <cfRule type="expression" dxfId="591" priority="11087">
      <formula>AND($D$4&lt;&gt;YEAR($G$58), $G$58&lt;&gt;0)</formula>
    </cfRule>
  </conditionalFormatting>
  <conditionalFormatting sqref="H92">
    <cfRule type="expression" dxfId="590" priority="11088">
      <formula>AND(H94&gt;H92,B98&lt;&gt;"")</formula>
    </cfRule>
    <cfRule type="expression" dxfId="589" priority="11089">
      <formula>AND($D$4&lt;&gt;YEAR($H$58), $H$58&lt;&gt;0)</formula>
    </cfRule>
  </conditionalFormatting>
  <conditionalFormatting sqref="I92">
    <cfRule type="expression" dxfId="588" priority="11090">
      <formula>AND(I94&gt;I92,B98&lt;&gt;"")</formula>
    </cfRule>
    <cfRule type="expression" dxfId="587" priority="11091">
      <formula>AND($D$4&lt;&gt;YEAR($I$58), $I$58&lt;&gt;0)</formula>
    </cfRule>
  </conditionalFormatting>
  <conditionalFormatting sqref="J92">
    <cfRule type="expression" dxfId="586" priority="11092">
      <formula>AND(J94&gt;J92,B98&lt;&gt;"")</formula>
    </cfRule>
    <cfRule type="expression" dxfId="585" priority="11093">
      <formula>AND($D$4&lt;&gt;YEAR($J$58), $J$58&lt;&gt;0)</formula>
    </cfRule>
  </conditionalFormatting>
  <conditionalFormatting sqref="K92">
    <cfRule type="expression" dxfId="584" priority="11094">
      <formula>AND(K94&gt;K92,B98&lt;&gt;"")</formula>
    </cfRule>
    <cfRule type="expression" dxfId="583" priority="11095">
      <formula>AND($D$4&lt;&gt;YEAR($K$58), $K$58&lt;&gt;0)</formula>
    </cfRule>
  </conditionalFormatting>
  <conditionalFormatting sqref="L92">
    <cfRule type="expression" dxfId="582" priority="11096">
      <formula>AND(L94&gt;L92,B98&lt;&gt;"")</formula>
    </cfRule>
    <cfRule type="expression" dxfId="581" priority="11097">
      <formula>AND($D$4&lt;&gt;YEAR($L$58), $L$58&lt;&gt;0)</formula>
    </cfRule>
  </conditionalFormatting>
  <conditionalFormatting sqref="M92">
    <cfRule type="expression" dxfId="580" priority="11098">
      <formula>AND(M94&gt;M92,B98&lt;&gt;"")</formula>
    </cfRule>
    <cfRule type="expression" dxfId="579" priority="11099">
      <formula>AND($D$4&lt;&gt;YEAR($M$58), $M$58&lt;&gt;0)</formula>
    </cfRule>
  </conditionalFormatting>
  <conditionalFormatting sqref="F94">
    <cfRule type="expression" dxfId="578" priority="11100">
      <formula>AND(F93&gt;F94,F93&lt;&gt;"",F94&lt;&gt;"")</formula>
    </cfRule>
    <cfRule type="expression" dxfId="577" priority="11101">
      <formula>AND($D$4&lt;&gt;YEAR($F$58), $F$58&lt;&gt;0)</formula>
    </cfRule>
  </conditionalFormatting>
  <conditionalFormatting sqref="I37:N39">
    <cfRule type="expression" dxfId="576" priority="253">
      <formula>AND($G$37="Yes",$G$39&lt;&gt;"Please Select",$G$44="Yes",$G$46="Yes")</formula>
    </cfRule>
  </conditionalFormatting>
  <conditionalFormatting sqref="B81:F82">
    <cfRule type="expression" dxfId="575" priority="252">
      <formula>$B$81&lt;&gt;""</formula>
    </cfRule>
  </conditionalFormatting>
  <conditionalFormatting sqref="I37:N46">
    <cfRule type="expression" dxfId="574" priority="59">
      <formula>COUNTIF($I$37,"Error*")</formula>
    </cfRule>
    <cfRule type="expression" dxfId="573" priority="60">
      <formula>AND($G$37="Yes",$G$39=0,$G$44="Yes",$G$46="No")</formula>
    </cfRule>
    <cfRule type="expression" dxfId="572" priority="156">
      <formula>AND($G$37="Yes",$G$39&gt;=1,$G$44="Yes",$G$46="No")</formula>
    </cfRule>
    <cfRule type="expression" dxfId="571" priority="172">
      <formula>AND(G37="Yes",G39=0,G44="No",G46="Please Select")</formula>
    </cfRule>
    <cfRule type="expression" dxfId="570" priority="249">
      <formula>AND($G$37="Yes",$G$39="Satellite(s) Only",$G$44="Please Select",$G$46="Yes")</formula>
    </cfRule>
    <cfRule type="expression" dxfId="569" priority="250">
      <formula>AND($G$37="Yes",$G$39&lt;&gt;"Please Select",$G$44="No")</formula>
    </cfRule>
    <cfRule type="expression" dxfId="568" priority="254">
      <formula>OR(AND($G$37="No",$G$39="Please Select",$G$44="Yes",$G$46="Yes"),AND($G$37="Yes",$G$39="Please Select",$G$44="Yes",$G$46="Yes"))</formula>
    </cfRule>
  </conditionalFormatting>
  <conditionalFormatting sqref="G428:I428">
    <cfRule type="expression" dxfId="567" priority="245">
      <formula>$G426="No"</formula>
    </cfRule>
  </conditionalFormatting>
  <conditionalFormatting sqref="E132">
    <cfRule type="expression" dxfId="566" priority="235">
      <formula>$O$132&lt;&gt;""</formula>
    </cfRule>
    <cfRule type="expression" dxfId="565" priority="244">
      <formula>$E$131&lt;$E$132</formula>
    </cfRule>
  </conditionalFormatting>
  <conditionalFormatting sqref="E133">
    <cfRule type="expression" dxfId="564" priority="233">
      <formula>$O$133&lt;&gt;""</formula>
    </cfRule>
    <cfRule type="expression" dxfId="563" priority="241">
      <formula>AND($E$131&lt;&gt;"",$E$132&lt;&gt;"",$E$133&gt;$E$132)</formula>
    </cfRule>
  </conditionalFormatting>
  <conditionalFormatting sqref="E130">
    <cfRule type="expression" dxfId="562" priority="237">
      <formula>AND($D$4&lt;&gt;YEAR($F$58), $F$58&lt;&gt;0)</formula>
    </cfRule>
  </conditionalFormatting>
  <conditionalFormatting sqref="O133">
    <cfRule type="expression" dxfId="561" priority="236">
      <formula>O133&lt;&gt;""</formula>
    </cfRule>
  </conditionalFormatting>
  <conditionalFormatting sqref="O137">
    <cfRule type="expression" dxfId="560" priority="231">
      <formula>O137&lt;&gt;""</formula>
    </cfRule>
  </conditionalFormatting>
  <conditionalFormatting sqref="E170">
    <cfRule type="expression" dxfId="559" priority="230">
      <formula>$O$170&lt;&gt;""</formula>
    </cfRule>
  </conditionalFormatting>
  <conditionalFormatting sqref="E171">
    <cfRule type="expression" dxfId="558" priority="229">
      <formula>$O$171&lt;&gt;""</formula>
    </cfRule>
  </conditionalFormatting>
  <conditionalFormatting sqref="O174">
    <cfRule type="expression" dxfId="557" priority="226">
      <formula>$O$174&lt;&gt;""</formula>
    </cfRule>
  </conditionalFormatting>
  <conditionalFormatting sqref="O168">
    <cfRule type="expression" dxfId="556" priority="225">
      <formula>$O$168&lt;&gt;""</formula>
    </cfRule>
  </conditionalFormatting>
  <conditionalFormatting sqref="O170">
    <cfRule type="expression" dxfId="555" priority="224">
      <formula>$O$170&lt;&gt;""</formula>
    </cfRule>
  </conditionalFormatting>
  <conditionalFormatting sqref="O171">
    <cfRule type="expression" dxfId="554" priority="223">
      <formula>$O$171&lt;&gt;""</formula>
    </cfRule>
  </conditionalFormatting>
  <conditionalFormatting sqref="G327">
    <cfRule type="expression" dxfId="553" priority="222">
      <formula>$I$318&gt;100</formula>
    </cfRule>
  </conditionalFormatting>
  <conditionalFormatting sqref="O321">
    <cfRule type="expression" dxfId="552" priority="221">
      <formula>O321&lt;&gt;""</formula>
    </cfRule>
  </conditionalFormatting>
  <conditionalFormatting sqref="O325">
    <cfRule type="expression" dxfId="551" priority="220">
      <formula>$O$325&lt;&gt;""</formula>
    </cfRule>
  </conditionalFormatting>
  <conditionalFormatting sqref="G358">
    <cfRule type="expression" dxfId="550" priority="217">
      <formula>$G$339="Yes"</formula>
    </cfRule>
  </conditionalFormatting>
  <conditionalFormatting sqref="G359">
    <cfRule type="expression" dxfId="549" priority="216">
      <formula>$G$339="Yes"</formula>
    </cfRule>
  </conditionalFormatting>
  <conditionalFormatting sqref="O358">
    <cfRule type="expression" dxfId="548" priority="215">
      <formula>$O$358&lt;&gt;""</formula>
    </cfRule>
  </conditionalFormatting>
  <conditionalFormatting sqref="O359">
    <cfRule type="expression" dxfId="547" priority="214">
      <formula>$O$359&lt;&gt;""</formula>
    </cfRule>
  </conditionalFormatting>
  <conditionalFormatting sqref="O367">
    <cfRule type="expression" dxfId="546" priority="213">
      <formula>$O$367&lt;&gt;""</formula>
    </cfRule>
  </conditionalFormatting>
  <conditionalFormatting sqref="O327">
    <cfRule type="expression" dxfId="545" priority="202">
      <formula>$O$327&lt;&gt;""</formula>
    </cfRule>
  </conditionalFormatting>
  <conditionalFormatting sqref="O423">
    <cfRule type="expression" dxfId="544" priority="196">
      <formula>$O$423&lt;&gt;""</formula>
    </cfRule>
  </conditionalFormatting>
  <conditionalFormatting sqref="O360">
    <cfRule type="expression" dxfId="543" priority="195">
      <formula>$O$360&lt;&gt;""</formula>
    </cfRule>
  </conditionalFormatting>
  <conditionalFormatting sqref="O169">
    <cfRule type="expression" dxfId="542" priority="183">
      <formula>$O$169&lt;&gt;""</formula>
    </cfRule>
  </conditionalFormatting>
  <conditionalFormatting sqref="E56:L56">
    <cfRule type="expression" dxfId="541" priority="182">
      <formula>OR($E$56="No Graduates",$E$56="No Primary")</formula>
    </cfRule>
  </conditionalFormatting>
  <conditionalFormatting sqref="M56">
    <cfRule type="expression" dxfId="540" priority="181">
      <formula>$M$56="No Satellites"</formula>
    </cfRule>
  </conditionalFormatting>
  <conditionalFormatting sqref="E88:L88">
    <cfRule type="expression" dxfId="539" priority="180">
      <formula>OR($E$88="No Graduates",$E$88="No Primary")</formula>
    </cfRule>
  </conditionalFormatting>
  <conditionalFormatting sqref="M88">
    <cfRule type="expression" dxfId="538" priority="179">
      <formula>$M$88="No Satellites"</formula>
    </cfRule>
  </conditionalFormatting>
  <conditionalFormatting sqref="E111:L111">
    <cfRule type="expression" dxfId="537" priority="178">
      <formula>OR($E$111="No Graduates",$E$111="No Primary")</formula>
    </cfRule>
  </conditionalFormatting>
  <conditionalFormatting sqref="M111">
    <cfRule type="expression" dxfId="536" priority="177">
      <formula>$M$111="No Satellites"</formula>
    </cfRule>
  </conditionalFormatting>
  <conditionalFormatting sqref="CA199">
    <cfRule type="expression" dxfId="535" priority="15882">
      <formula>#REF!&lt;&gt;""</formula>
    </cfRule>
  </conditionalFormatting>
  <conditionalFormatting sqref="O294">
    <cfRule type="expression" dxfId="534" priority="175">
      <formula>O294&lt;&gt;""</formula>
    </cfRule>
  </conditionalFormatting>
  <conditionalFormatting sqref="O296">
    <cfRule type="expression" dxfId="533" priority="174">
      <formula>O296&lt;&gt;""</formula>
    </cfRule>
  </conditionalFormatting>
  <conditionalFormatting sqref="O85">
    <cfRule type="expression" dxfId="532" priority="171">
      <formula>$O$85&lt;&gt;""</formula>
    </cfRule>
  </conditionalFormatting>
  <conditionalFormatting sqref="R54:Z54 R56:Z64">
    <cfRule type="expression" dxfId="531" priority="170">
      <formula>$P$54&lt;&gt;""</formula>
    </cfRule>
  </conditionalFormatting>
  <conditionalFormatting sqref="R66:Z76">
    <cfRule type="expression" dxfId="530" priority="169">
      <formula>$P$54&lt;&gt;""</formula>
    </cfRule>
  </conditionalFormatting>
  <conditionalFormatting sqref="R87:Z93">
    <cfRule type="expression" dxfId="529" priority="168">
      <formula>$P$83&lt;&gt;""</formula>
    </cfRule>
  </conditionalFormatting>
  <conditionalFormatting sqref="R95:Z100">
    <cfRule type="expression" dxfId="528" priority="167">
      <formula>$P$83&lt;&gt;""</formula>
    </cfRule>
  </conditionalFormatting>
  <conditionalFormatting sqref="R109:Z115">
    <cfRule type="expression" dxfId="527" priority="166">
      <formula>$P$107&lt;&gt;""</formula>
    </cfRule>
  </conditionalFormatting>
  <conditionalFormatting sqref="R117:Z122">
    <cfRule type="expression" dxfId="526" priority="165">
      <formula>$P$107&lt;&gt;""</formula>
    </cfRule>
  </conditionalFormatting>
  <conditionalFormatting sqref="G44">
    <cfRule type="expression" dxfId="525" priority="164">
      <formula>$G$39&lt;&gt;"Satellite(s) Only"</formula>
    </cfRule>
  </conditionalFormatting>
  <conditionalFormatting sqref="C215">
    <cfRule type="expression" dxfId="524" priority="15884">
      <formula>$C$215&lt;&gt;""</formula>
    </cfRule>
  </conditionalFormatting>
  <conditionalFormatting sqref="E215:G215">
    <cfRule type="expression" dxfId="523" priority="15886">
      <formula>$C$215&lt;&gt;""</formula>
    </cfRule>
  </conditionalFormatting>
  <conditionalFormatting sqref="C212">
    <cfRule type="expression" dxfId="522" priority="15940">
      <formula>AND(G208="No",G210="Yes")</formula>
    </cfRule>
  </conditionalFormatting>
  <conditionalFormatting sqref="G210:H210">
    <cfRule type="expression" dxfId="521" priority="154">
      <formula>G208="No"</formula>
    </cfRule>
  </conditionalFormatting>
  <conditionalFormatting sqref="C217">
    <cfRule type="expression" dxfId="520" priority="148">
      <formula>$C$217&lt;&gt;""</formula>
    </cfRule>
  </conditionalFormatting>
  <conditionalFormatting sqref="C219">
    <cfRule type="expression" dxfId="519" priority="147">
      <formula>$C$219&lt;&gt;""</formula>
    </cfRule>
  </conditionalFormatting>
  <conditionalFormatting sqref="C221">
    <cfRule type="expression" dxfId="518" priority="146">
      <formula>$C$221&lt;&gt;""</formula>
    </cfRule>
  </conditionalFormatting>
  <conditionalFormatting sqref="C223">
    <cfRule type="expression" dxfId="517" priority="145">
      <formula>$C$223&lt;&gt;""</formula>
    </cfRule>
  </conditionalFormatting>
  <conditionalFormatting sqref="C227">
    <cfRule type="expression" dxfId="516" priority="143">
      <formula>OR(G208="Yes",G210="Yes")</formula>
    </cfRule>
  </conditionalFormatting>
  <conditionalFormatting sqref="E217:G217">
    <cfRule type="expression" dxfId="515" priority="139">
      <formula>$C$217&lt;&gt;""</formula>
    </cfRule>
  </conditionalFormatting>
  <conditionalFormatting sqref="E219:G219">
    <cfRule type="expression" dxfId="514" priority="138">
      <formula>$C$219&lt;&gt;""</formula>
    </cfRule>
  </conditionalFormatting>
  <conditionalFormatting sqref="H219">
    <cfRule type="expression" dxfId="513" priority="137">
      <formula>$H$219&lt;&gt;""</formula>
    </cfRule>
  </conditionalFormatting>
  <conditionalFormatting sqref="I215:K215">
    <cfRule type="expression" dxfId="512" priority="136">
      <formula>$I$215&lt;&gt;""</formula>
    </cfRule>
  </conditionalFormatting>
  <conditionalFormatting sqref="L215:N215">
    <cfRule type="expression" dxfId="511" priority="135">
      <formula>I215&lt;&gt;""</formula>
    </cfRule>
  </conditionalFormatting>
  <conditionalFormatting sqref="E221:G221">
    <cfRule type="expression" dxfId="510" priority="134">
      <formula>$C$221&lt;&gt;""</formula>
    </cfRule>
  </conditionalFormatting>
  <conditionalFormatting sqref="H221">
    <cfRule type="expression" dxfId="509" priority="133">
      <formula>$H$221&lt;&gt;""</formula>
    </cfRule>
  </conditionalFormatting>
  <conditionalFormatting sqref="E223:G223">
    <cfRule type="expression" dxfId="508" priority="132">
      <formula>$C$223&lt;&gt;""</formula>
    </cfRule>
  </conditionalFormatting>
  <conditionalFormatting sqref="H223">
    <cfRule type="expression" dxfId="507" priority="131">
      <formula>$H$223&lt;&gt;""</formula>
    </cfRule>
  </conditionalFormatting>
  <conditionalFormatting sqref="I217:K217">
    <cfRule type="expression" dxfId="506" priority="130">
      <formula>$I$217&lt;&gt;""</formula>
    </cfRule>
  </conditionalFormatting>
  <conditionalFormatting sqref="I219:K219">
    <cfRule type="expression" dxfId="505" priority="129">
      <formula>$I$219&lt;&gt;""</formula>
    </cfRule>
  </conditionalFormatting>
  <conditionalFormatting sqref="I221:K221">
    <cfRule type="expression" dxfId="504" priority="128">
      <formula>$I$221&lt;&gt;""</formula>
    </cfRule>
  </conditionalFormatting>
  <conditionalFormatting sqref="I223:K223">
    <cfRule type="expression" dxfId="503" priority="127">
      <formula>$I$223&lt;&gt;""</formula>
    </cfRule>
  </conditionalFormatting>
  <conditionalFormatting sqref="L217:N217">
    <cfRule type="expression" dxfId="502" priority="126">
      <formula>I217&lt;&gt;""</formula>
    </cfRule>
  </conditionalFormatting>
  <conditionalFormatting sqref="L219:N219">
    <cfRule type="expression" dxfId="501" priority="125">
      <formula>I219&lt;&gt;""</formula>
    </cfRule>
  </conditionalFormatting>
  <conditionalFormatting sqref="L221:N221">
    <cfRule type="expression" dxfId="500" priority="124">
      <formula>I221&lt;&gt;""</formula>
    </cfRule>
  </conditionalFormatting>
  <conditionalFormatting sqref="L223:N223">
    <cfRule type="expression" dxfId="499" priority="123">
      <formula>I223&lt;&gt;""</formula>
    </cfRule>
  </conditionalFormatting>
  <conditionalFormatting sqref="O215">
    <cfRule type="expression" dxfId="498" priority="122">
      <formula>$O$215&lt;&gt;""</formula>
    </cfRule>
  </conditionalFormatting>
  <conditionalFormatting sqref="O217">
    <cfRule type="expression" dxfId="497" priority="121">
      <formula>$O$217&lt;&gt;""</formula>
    </cfRule>
  </conditionalFormatting>
  <conditionalFormatting sqref="O219">
    <cfRule type="expression" dxfId="496" priority="120">
      <formula>$O$219&lt;&gt;""</formula>
    </cfRule>
  </conditionalFormatting>
  <conditionalFormatting sqref="O221">
    <cfRule type="expression" dxfId="495" priority="119">
      <formula>$O$221&lt;&gt;""</formula>
    </cfRule>
  </conditionalFormatting>
  <conditionalFormatting sqref="O223">
    <cfRule type="expression" dxfId="494" priority="118">
      <formula>$O$223&lt;&gt;""</formula>
    </cfRule>
  </conditionalFormatting>
  <conditionalFormatting sqref="O212">
    <cfRule type="expression" dxfId="493" priority="117">
      <formula>$O$212&lt;&gt;""</formula>
    </cfRule>
  </conditionalFormatting>
  <conditionalFormatting sqref="C228:N245">
    <cfRule type="expression" dxfId="492" priority="115">
      <formula>G210="No"</formula>
    </cfRule>
  </conditionalFormatting>
  <conditionalFormatting sqref="AA54">
    <cfRule type="expression" dxfId="491" priority="108">
      <formula>AA54&lt;&gt;""</formula>
    </cfRule>
  </conditionalFormatting>
  <conditionalFormatting sqref="AA67">
    <cfRule type="expression" dxfId="490" priority="107">
      <formula>$AA$67&lt;&gt;""</formula>
    </cfRule>
  </conditionalFormatting>
  <conditionalFormatting sqref="AA87">
    <cfRule type="expression" dxfId="489" priority="106">
      <formula>$AA$87&lt;&gt;""</formula>
    </cfRule>
  </conditionalFormatting>
  <conditionalFormatting sqref="AA95">
    <cfRule type="expression" dxfId="488" priority="105">
      <formula>$AA$95&lt;&gt;""</formula>
    </cfRule>
  </conditionalFormatting>
  <conditionalFormatting sqref="AA110">
    <cfRule type="expression" dxfId="487" priority="104">
      <formula>$AA$110&lt;&gt;""</formula>
    </cfRule>
  </conditionalFormatting>
  <conditionalFormatting sqref="AA118">
    <cfRule type="expression" dxfId="486" priority="103">
      <formula>$AA$118&lt;&gt;""</formula>
    </cfRule>
  </conditionalFormatting>
  <conditionalFormatting sqref="O228">
    <cfRule type="expression" dxfId="485" priority="102">
      <formula>$O$228&lt;&gt;""</formula>
    </cfRule>
  </conditionalFormatting>
  <conditionalFormatting sqref="I351:M356">
    <cfRule type="expression" dxfId="484" priority="101">
      <formula>I351&lt;&gt;""</formula>
    </cfRule>
  </conditionalFormatting>
  <conditionalFormatting sqref="O57">
    <cfRule type="expression" dxfId="483" priority="97">
      <formula>$O$57&lt;&gt;""</formula>
    </cfRule>
  </conditionalFormatting>
  <conditionalFormatting sqref="O58">
    <cfRule type="expression" dxfId="482" priority="96">
      <formula>$O$58&lt;&gt;""</formula>
    </cfRule>
  </conditionalFormatting>
  <conditionalFormatting sqref="O59">
    <cfRule type="expression" dxfId="481" priority="95">
      <formula>$O$59&lt;&gt;""</formula>
    </cfRule>
  </conditionalFormatting>
  <conditionalFormatting sqref="D351:F351">
    <cfRule type="expression" dxfId="480" priority="83">
      <formula>G351="Yes"</formula>
    </cfRule>
  </conditionalFormatting>
  <conditionalFormatting sqref="D353:F353">
    <cfRule type="expression" dxfId="479" priority="82">
      <formula>G353="Yes"</formula>
    </cfRule>
  </conditionalFormatting>
  <conditionalFormatting sqref="D355:F355">
    <cfRule type="expression" dxfId="478" priority="81">
      <formula>G355="Yes"</formula>
    </cfRule>
  </conditionalFormatting>
  <conditionalFormatting sqref="J210:N210">
    <cfRule type="expression" dxfId="477" priority="61">
      <formula>$J$210&lt;&gt;""</formula>
    </cfRule>
  </conditionalFormatting>
  <conditionalFormatting sqref="O334">
    <cfRule type="expression" dxfId="476" priority="58">
      <formula>$O$334&lt;&gt;""</formula>
    </cfRule>
  </conditionalFormatting>
  <conditionalFormatting sqref="O332">
    <cfRule type="expression" dxfId="475" priority="57">
      <formula>O332&lt;&gt;""</formula>
    </cfRule>
  </conditionalFormatting>
  <conditionalFormatting sqref="G335">
    <cfRule type="expression" dxfId="474" priority="56">
      <formula>$I$318&gt;100</formula>
    </cfRule>
  </conditionalFormatting>
  <conditionalFormatting sqref="O335">
    <cfRule type="expression" dxfId="473" priority="55">
      <formula>$O$335&lt;&gt;""</formula>
    </cfRule>
  </conditionalFormatting>
  <conditionalFormatting sqref="O343">
    <cfRule type="expression" dxfId="472" priority="54">
      <formula>$O$343&lt;&gt;""</formula>
    </cfRule>
  </conditionalFormatting>
  <conditionalFormatting sqref="O341">
    <cfRule type="expression" dxfId="471" priority="53">
      <formula>O341&lt;&gt;""</formula>
    </cfRule>
  </conditionalFormatting>
  <conditionalFormatting sqref="G347">
    <cfRule type="expression" dxfId="470" priority="52">
      <formula>$I$318&gt;100</formula>
    </cfRule>
  </conditionalFormatting>
  <conditionalFormatting sqref="O347">
    <cfRule type="expression" dxfId="469" priority="51">
      <formula>$O$347&lt;&gt;""</formula>
    </cfRule>
  </conditionalFormatting>
  <conditionalFormatting sqref="O345">
    <cfRule type="expression" dxfId="468" priority="50">
      <formula>O345&lt;&gt;""</formula>
    </cfRule>
  </conditionalFormatting>
  <conditionalFormatting sqref="G341">
    <cfRule type="expression" dxfId="467" priority="48">
      <formula>$C$339&lt;&gt;""</formula>
    </cfRule>
  </conditionalFormatting>
  <conditionalFormatting sqref="G343">
    <cfRule type="expression" dxfId="466" priority="47">
      <formula>$C$339&lt;&gt;""</formula>
    </cfRule>
  </conditionalFormatting>
  <conditionalFormatting sqref="G345">
    <cfRule type="expression" dxfId="465" priority="46">
      <formula>$C$339&lt;&gt;""</formula>
    </cfRule>
  </conditionalFormatting>
  <conditionalFormatting sqref="O349">
    <cfRule type="expression" dxfId="464" priority="45">
      <formula>$O$349&lt;&gt;""</formula>
    </cfRule>
  </conditionalFormatting>
  <conditionalFormatting sqref="G351">
    <cfRule type="expression" dxfId="463" priority="43">
      <formula>C339&lt;&gt;""</formula>
    </cfRule>
  </conditionalFormatting>
  <conditionalFormatting sqref="G353">
    <cfRule type="expression" dxfId="462" priority="42">
      <formula>C339&lt;&gt;""</formula>
    </cfRule>
  </conditionalFormatting>
  <conditionalFormatting sqref="G355">
    <cfRule type="expression" dxfId="461" priority="41">
      <formula>C339&lt;&gt;""</formula>
    </cfRule>
  </conditionalFormatting>
  <conditionalFormatting sqref="G360">
    <cfRule type="expression" dxfId="460" priority="40">
      <formula>C339&lt;&gt;""</formula>
    </cfRule>
  </conditionalFormatting>
  <conditionalFormatting sqref="O362">
    <cfRule type="expression" dxfId="459" priority="39">
      <formula>$O$360&lt;&gt;""</formula>
    </cfRule>
  </conditionalFormatting>
  <conditionalFormatting sqref="G362">
    <cfRule type="expression" dxfId="458" priority="37">
      <formula>C339&lt;&gt;""</formula>
    </cfRule>
  </conditionalFormatting>
  <conditionalFormatting sqref="O369">
    <cfRule type="expression" dxfId="457" priority="36">
      <formula>$O$369&lt;&gt;""</formula>
    </cfRule>
  </conditionalFormatting>
  <conditionalFormatting sqref="O371">
    <cfRule type="expression" dxfId="456" priority="35">
      <formula>O371&lt;&gt;""</formula>
    </cfRule>
  </conditionalFormatting>
  <conditionalFormatting sqref="O375">
    <cfRule type="expression" dxfId="455" priority="34">
      <formula>$O$375&lt;&gt;""</formula>
    </cfRule>
  </conditionalFormatting>
  <conditionalFormatting sqref="O373">
    <cfRule type="expression" dxfId="454" priority="33">
      <formula>O373&lt;&gt;""</formula>
    </cfRule>
  </conditionalFormatting>
  <conditionalFormatting sqref="G386">
    <cfRule type="expression" dxfId="453" priority="32">
      <formula>$I$318&gt;100</formula>
    </cfRule>
  </conditionalFormatting>
  <conditionalFormatting sqref="O386">
    <cfRule type="expression" dxfId="452" priority="31">
      <formula>$O$386&lt;&gt;""</formula>
    </cfRule>
  </conditionalFormatting>
  <conditionalFormatting sqref="O379">
    <cfRule type="expression" dxfId="451" priority="30">
      <formula>$O$379&lt;&gt;""</formula>
    </cfRule>
  </conditionalFormatting>
  <conditionalFormatting sqref="O377">
    <cfRule type="expression" dxfId="450" priority="29">
      <formula>O377&lt;&gt;""</formula>
    </cfRule>
  </conditionalFormatting>
  <conditionalFormatting sqref="O381">
    <cfRule type="expression" dxfId="449" priority="28">
      <formula>$O$381&lt;&gt;""</formula>
    </cfRule>
  </conditionalFormatting>
  <conditionalFormatting sqref="O385">
    <cfRule type="expression" dxfId="448" priority="27">
      <formula>$O$385&lt;&gt;""</formula>
    </cfRule>
  </conditionalFormatting>
  <conditionalFormatting sqref="O383">
    <cfRule type="expression" dxfId="447" priority="26">
      <formula>O383&lt;&gt;""</formula>
    </cfRule>
  </conditionalFormatting>
  <conditionalFormatting sqref="I335:L335">
    <cfRule type="expression" dxfId="446" priority="25">
      <formula>$I$335&lt;&gt;""</formula>
    </cfRule>
  </conditionalFormatting>
  <conditionalFormatting sqref="I347:L347">
    <cfRule type="expression" dxfId="445" priority="24">
      <formula>$I$347&lt;&gt;""</formula>
    </cfRule>
  </conditionalFormatting>
  <conditionalFormatting sqref="I386:L386">
    <cfRule type="expression" dxfId="444" priority="23">
      <formula>$I$386&lt;&gt;""</formula>
    </cfRule>
  </conditionalFormatting>
  <conditionalFormatting sqref="O389">
    <cfRule type="expression" dxfId="443" priority="22">
      <formula>$O$389&lt;&gt;""</formula>
    </cfRule>
  </conditionalFormatting>
  <conditionalFormatting sqref="O391">
    <cfRule type="expression" dxfId="442" priority="21">
      <formula>$O$391&lt;&gt;""</formula>
    </cfRule>
  </conditionalFormatting>
  <conditionalFormatting sqref="O393">
    <cfRule type="expression" dxfId="441" priority="20">
      <formula>$O$393&lt;&gt;""</formula>
    </cfRule>
  </conditionalFormatting>
  <conditionalFormatting sqref="O395">
    <cfRule type="expression" dxfId="440" priority="19">
      <formula>$O$395&lt;&gt;""</formula>
    </cfRule>
  </conditionalFormatting>
  <conditionalFormatting sqref="O400">
    <cfRule type="expression" dxfId="439" priority="18">
      <formula>$O$400&lt;&gt;""</formula>
    </cfRule>
  </conditionalFormatting>
  <conditionalFormatting sqref="O402">
    <cfRule type="expression" dxfId="438" priority="17">
      <formula>$O$402&lt;&gt;""</formula>
    </cfRule>
  </conditionalFormatting>
  <conditionalFormatting sqref="O404">
    <cfRule type="expression" dxfId="437" priority="16">
      <formula>$O$404&lt;&gt;""</formula>
    </cfRule>
  </conditionalFormatting>
  <conditionalFormatting sqref="O406">
    <cfRule type="expression" dxfId="436" priority="15">
      <formula>$O$406&lt;&gt;""</formula>
    </cfRule>
  </conditionalFormatting>
  <conditionalFormatting sqref="O407">
    <cfRule type="expression" dxfId="435" priority="14">
      <formula>O407&lt;&gt;""</formula>
    </cfRule>
  </conditionalFormatting>
  <conditionalFormatting sqref="I415:M420">
    <cfRule type="expression" dxfId="434" priority="13">
      <formula>$I$355&lt;&gt;""</formula>
    </cfRule>
  </conditionalFormatting>
  <conditionalFormatting sqref="D409:F409">
    <cfRule type="expression" dxfId="433" priority="12">
      <formula>G409=TRUE</formula>
    </cfRule>
  </conditionalFormatting>
  <conditionalFormatting sqref="D411:F411">
    <cfRule type="expression" dxfId="432" priority="11">
      <formula>G411=TRUE</formula>
    </cfRule>
  </conditionalFormatting>
  <conditionalFormatting sqref="D413:F413">
    <cfRule type="expression" dxfId="431" priority="10">
      <formula>G413=TRUE</formula>
    </cfRule>
  </conditionalFormatting>
  <conditionalFormatting sqref="D415:F415">
    <cfRule type="expression" dxfId="430" priority="9">
      <formula>G415=TRUE</formula>
    </cfRule>
  </conditionalFormatting>
  <conditionalFormatting sqref="D417:F417">
    <cfRule type="expression" dxfId="429" priority="8">
      <formula>G417=TRUE</formula>
    </cfRule>
  </conditionalFormatting>
  <conditionalFormatting sqref="D419">
    <cfRule type="expression" dxfId="428" priority="7">
      <formula>G419=TRUE</formula>
    </cfRule>
  </conditionalFormatting>
  <conditionalFormatting sqref="O12">
    <cfRule type="expression" dxfId="427" priority="15978">
      <formula>AND($D$16&lt;&gt;"",$D$432&lt;&gt;"",$D$436="")</formula>
    </cfRule>
  </conditionalFormatting>
  <conditionalFormatting sqref="I409:M414">
    <cfRule type="expression" dxfId="426" priority="2">
      <formula>$I$409&lt;&gt;""</formula>
    </cfRule>
  </conditionalFormatting>
  <conditionalFormatting sqref="D340:I340">
    <cfRule type="expression" dxfId="425" priority="1">
      <formula>AND($G$332&lt;&gt;"",$G$334&lt;&gt;"",$G$335&lt;&gt;0)</formula>
    </cfRule>
  </conditionalFormatting>
  <dataValidations count="22">
    <dataValidation type="list" allowBlank="1" showInputMessage="1" showErrorMessage="1" sqref="H20">
      <formula1>"AK, AL, AR, AZ, CA, CO, CT, DC, DE, FL, GA, HI, IA, ID, IL, IN, KS, KY, LA, MA, MD, ME, MI, MN, MO, MS, MT, NC, ND, NE, NH, NJ, NM, NV, NY, OH, OK, OR, PA, RI, SC, SD, TN, TX, UT, VA, VT, WA, WI, WV, WY"</formula1>
    </dataValidation>
    <dataValidation type="list" allowBlank="1" showInputMessage="1" showErrorMessage="1" sqref="G259 I268:I282 G261 D261 D263 D259 G210:H210">
      <formula1>"Yes, No"</formula1>
    </dataValidation>
    <dataValidation type="list" allowBlank="1" showInputMessage="1" showErrorMessage="1" sqref="G39">
      <formula1>" Please Select,0,1,2,3,4,5,6,7,8"</formula1>
    </dataValidation>
    <dataValidation type="list" allowBlank="1" showInputMessage="1" showErrorMessage="1" sqref="AI61">
      <formula1>"Please Select, No, Yes"</formula1>
    </dataValidation>
    <dataValidation type="list" allowBlank="1" showInputMessage="1" showErrorMessage="1" sqref="G212:H212">
      <formula1>"1,2,3,4,5,6,7,8,9,10"</formula1>
    </dataValidation>
    <dataValidation type="list" allowBlank="1" showInputMessage="1" showErrorMessage="1" sqref="D23:F23">
      <formula1>"Please Select, Letter of Review, Initial Accreditation, Continuing Accreditation, Probationary Accreditation, Inactive"</formula1>
    </dataValidation>
    <dataValidation type="list" allowBlank="1" showInputMessage="1" showErrorMessage="1" sqref="G426 G308 G208:H208 G402 G257 G81:H81 G351 G353 G355 G360 G362 G367">
      <formula1>"Please Select, Yes, No"</formula1>
    </dataValidation>
    <dataValidation type="list" allowBlank="1" showInputMessage="1" showErrorMessage="1" sqref="G37">
      <formula1>"Please Select, Yes,No"</formula1>
    </dataValidation>
    <dataValidation type="list" allowBlank="1" showInputMessage="1" showErrorMessage="1" sqref="E215:G215 E217:G217 E219:G219 L215:N215 E221:G221 E223:G223 L217:N217 L219:N219 L221:N221 L223:N223">
      <formula1>"Faculty, Medical Director, Support Personnel, Curriculum, Financial Resources, Facilities, Clinical Resources, Field Internship Resources, Learning Resources, Physician Interaction"</formula1>
    </dataValidation>
    <dataValidation type="list" allowBlank="1" showInputMessage="1" showErrorMessage="1" sqref="G44 G46">
      <formula1>"Please Select,Yes, No"</formula1>
    </dataValidation>
    <dataValidation type="list" allowBlank="1" showInputMessage="1" showErrorMessage="1" sqref="C430">
      <formula1>"Please Select, Yes"</formula1>
    </dataValidation>
    <dataValidation type="list" allowBlank="1" showInputMessage="1" showErrorMessage="1" sqref="G84:H84">
      <formula1>"National Registry, State"</formula1>
    </dataValidation>
    <dataValidation type="list" allowBlank="1" showInputMessage="1" showErrorMessage="1" sqref="S85">
      <formula1>"Please Select, Improving, Steady, Declining"</formula1>
    </dataValidation>
    <dataValidation type="list" allowBlank="1" showInputMessage="1" showErrorMessage="1" sqref="G313 G315 G317">
      <formula1>"Please Select, Yes, N/A"</formula1>
    </dataValidation>
    <dataValidation type="whole" allowBlank="1" showInputMessage="1" showErrorMessage="1" error="Please provide the hours as a whole number" sqref="G290 G298 G300 G302 G294 G296 G369">
      <formula1>0</formula1>
      <formula2>9999</formula2>
    </dataValidation>
    <dataValidation type="whole" allowBlank="1" showInputMessage="1" showErrorMessage="1" error="Please provide the number of faculty as a whole number" sqref="G304">
      <formula1>0</formula1>
      <formula2>100</formula2>
    </dataValidation>
    <dataValidation type="whole" allowBlank="1" showInputMessage="1" showErrorMessage="1" error="Please provide the number of months as a whole number" sqref="G306">
      <formula1>0</formula1>
      <formula2>100</formula2>
    </dataValidation>
    <dataValidation type="whole" allowBlank="1" showInputMessage="1" showErrorMessage="1" error="Please provide percentage as a whole number" sqref="G321 G323 G325 G358:G359 G332 G334 G341 G343 G345 G373 G375 G377 G379 G381 G383 G385">
      <formula1>0</formula1>
      <formula2>100</formula2>
    </dataValidation>
    <dataValidation type="list" allowBlank="1" showInputMessage="1" showErrorMessage="1" sqref="G393 G395">
      <formula1>"Please Select, Strongly Agree, Agree, Disagree, Strongly Disagree"</formula1>
    </dataValidation>
    <dataValidation type="whole" allowBlank="1" showInputMessage="1" showErrorMessage="1" error="Please provide the salary as a whole number" sqref="G400">
      <formula1>0</formula1>
      <formula2>500000</formula2>
    </dataValidation>
    <dataValidation type="whole" allowBlank="1" showInputMessage="1" showErrorMessage="1" error="Please provide the salary as a whole number" sqref="G389">
      <formula1>0</formula1>
      <formula2>500000</formula2>
    </dataValidation>
    <dataValidation allowBlank="1" showInputMessage="1" showErrorMessage="1" error="Please provide the hours as a whole number" sqref="G404"/>
  </dataValidations>
  <hyperlinks>
    <hyperlink ref="B255:L255" r:id="rId2" display="http://coaemsp.org/Policy_Procedures.htm"/>
    <hyperlink ref="B205:L205" r:id="rId3" display="http://coaemsp.org/Policy_Procedures.htm"/>
    <hyperlink ref="B205" r:id="rId4" display="http://coaemsp.org/Evaluations.htm"/>
    <hyperlink ref="CA124:CE124" location="'2017 Annual Report'!A124" display="'2017 Annual Report'!A124"/>
    <hyperlink ref="CA161:CE161" location="'2017 Annual Report'!A124" display="'2017 Annual Report'!A124"/>
    <hyperlink ref="CA199:CE199" location="'2017 Annual Report'!A124" display="'2017 Annual Report'!A124"/>
    <hyperlink ref="L10" r:id="rId5"/>
    <hyperlink ref="V52:X52" r:id="rId6" display="https://coaemsp.org/resource-library"/>
    <hyperlink ref="V82:X82" r:id="rId7" display="https://coaemsp.org/resource-library"/>
    <hyperlink ref="V107:X107" r:id="rId8" display="https://coaemsp.org/resource-library"/>
    <hyperlink ref="B205:N205" r:id="rId9" display="CoAEMSP Resource Library"/>
  </hyperlinks>
  <printOptions horizontalCentered="1"/>
  <pageMargins left="0.15" right="0.15" top="0.25" bottom="0.25" header="0" footer="0"/>
  <pageSetup scale="57" fitToWidth="0" pageOrder="overThenDown" orientation="landscape" r:id="rId10"/>
  <rowBreaks count="10" manualBreakCount="10">
    <brk id="47" max="13" man="1"/>
    <brk id="77" max="13" man="1"/>
    <brk id="103" max="13" man="1"/>
    <brk id="124" max="13" man="1"/>
    <brk id="161" max="13" man="1"/>
    <brk id="199" max="13" man="1"/>
    <brk id="212" max="13" man="1"/>
    <brk id="249" max="13" man="1"/>
    <brk id="310" max="13" man="1"/>
    <brk id="364" max="13" man="1"/>
  </rowBreaks>
  <colBreaks count="6" manualBreakCount="6">
    <brk id="14" max="1048575" man="1"/>
    <brk id="33" max="429" man="1"/>
    <brk id="51" max="429" man="1"/>
    <brk id="69" max="1048575" man="1"/>
    <brk id="88" max="307" man="1"/>
    <brk id="106" max="307" man="1"/>
  </colBreaks>
  <ignoredErrors>
    <ignoredError sqref="H216 H218 H220 H222 O216 O218 O220" formula="1"/>
    <ignoredError sqref="O222" formula="1" unlockedFormula="1"/>
    <ignoredError sqref="O224" unlockedFormula="1"/>
  </ignoredErrors>
  <drawing r:id="rId11"/>
  <legacyDrawing r:id="rId12"/>
  <mc:AlternateContent xmlns:mc="http://schemas.openxmlformats.org/markup-compatibility/2006">
    <mc:Choice Requires="x14">
      <controls>
        <mc:AlternateContent xmlns:mc="http://schemas.openxmlformats.org/markup-compatibility/2006">
          <mc:Choice Requires="x14">
            <control shapeId="1140" r:id="rId13" name="Check Box 116">
              <controlPr defaultSize="0" autoFill="0" autoLine="0" autoPict="0">
                <anchor moveWithCells="1">
                  <from>
                    <xdr:col>5</xdr:col>
                    <xdr:colOff>752475</xdr:colOff>
                    <xdr:row>408</xdr:row>
                    <xdr:rowOff>0</xdr:rowOff>
                  </from>
                  <to>
                    <xdr:col>6</xdr:col>
                    <xdr:colOff>219075</xdr:colOff>
                    <xdr:row>408</xdr:row>
                    <xdr:rowOff>190500</xdr:rowOff>
                  </to>
                </anchor>
              </controlPr>
            </control>
          </mc:Choice>
        </mc:AlternateContent>
        <mc:AlternateContent xmlns:mc="http://schemas.openxmlformats.org/markup-compatibility/2006">
          <mc:Choice Requires="x14">
            <control shapeId="1141" r:id="rId14" name="Check Box 117">
              <controlPr defaultSize="0" autoFill="0" autoLine="0" autoPict="0">
                <anchor moveWithCells="1">
                  <from>
                    <xdr:col>5</xdr:col>
                    <xdr:colOff>752475</xdr:colOff>
                    <xdr:row>409</xdr:row>
                    <xdr:rowOff>123825</xdr:rowOff>
                  </from>
                  <to>
                    <xdr:col>6</xdr:col>
                    <xdr:colOff>238125</xdr:colOff>
                    <xdr:row>410</xdr:row>
                    <xdr:rowOff>209550</xdr:rowOff>
                  </to>
                </anchor>
              </controlPr>
            </control>
          </mc:Choice>
        </mc:AlternateContent>
        <mc:AlternateContent xmlns:mc="http://schemas.openxmlformats.org/markup-compatibility/2006">
          <mc:Choice Requires="x14">
            <control shapeId="1142" r:id="rId15" name="Check Box 118">
              <controlPr locked="0" defaultSize="0" autoFill="0" autoLine="0" autoPict="0">
                <anchor moveWithCells="1">
                  <from>
                    <xdr:col>5</xdr:col>
                    <xdr:colOff>752475</xdr:colOff>
                    <xdr:row>412</xdr:row>
                    <xdr:rowOff>19050</xdr:rowOff>
                  </from>
                  <to>
                    <xdr:col>6</xdr:col>
                    <xdr:colOff>209550</xdr:colOff>
                    <xdr:row>412</xdr:row>
                    <xdr:rowOff>219075</xdr:rowOff>
                  </to>
                </anchor>
              </controlPr>
            </control>
          </mc:Choice>
        </mc:AlternateContent>
        <mc:AlternateContent xmlns:mc="http://schemas.openxmlformats.org/markup-compatibility/2006">
          <mc:Choice Requires="x14">
            <control shapeId="1143" r:id="rId16" name="Check Box 119">
              <controlPr defaultSize="0" autoFill="0" autoLine="0" autoPict="0">
                <anchor moveWithCells="1">
                  <from>
                    <xdr:col>5</xdr:col>
                    <xdr:colOff>752475</xdr:colOff>
                    <xdr:row>414</xdr:row>
                    <xdr:rowOff>0</xdr:rowOff>
                  </from>
                  <to>
                    <xdr:col>6</xdr:col>
                    <xdr:colOff>209550</xdr:colOff>
                    <xdr:row>414</xdr:row>
                    <xdr:rowOff>190500</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5</xdr:col>
                    <xdr:colOff>752475</xdr:colOff>
                    <xdr:row>416</xdr:row>
                    <xdr:rowOff>0</xdr:rowOff>
                  </from>
                  <to>
                    <xdr:col>6</xdr:col>
                    <xdr:colOff>209550</xdr:colOff>
                    <xdr:row>416</xdr:row>
                    <xdr:rowOff>209550</xdr:rowOff>
                  </to>
                </anchor>
              </controlPr>
            </control>
          </mc:Choice>
        </mc:AlternateContent>
        <mc:AlternateContent xmlns:mc="http://schemas.openxmlformats.org/markup-compatibility/2006">
          <mc:Choice Requires="x14">
            <control shapeId="1145" r:id="rId18" name="Check Box 121">
              <controlPr locked="0" defaultSize="0" autoFill="0" autoLine="0" autoPict="0">
                <anchor moveWithCells="1">
                  <from>
                    <xdr:col>5</xdr:col>
                    <xdr:colOff>762000</xdr:colOff>
                    <xdr:row>418</xdr:row>
                    <xdr:rowOff>0</xdr:rowOff>
                  </from>
                  <to>
                    <xdr:col>6</xdr:col>
                    <xdr:colOff>219075</xdr:colOff>
                    <xdr:row>418</xdr:row>
                    <xdr:rowOff>257175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8" id="{0CAE3229-CF7D-4B01-8C09-0E84F91C2568}">
            <xm:f>'2022 Satellite(s)'!$B$82:$N$82&lt;&gt;""</xm:f>
            <x14:dxf>
              <font>
                <b/>
                <i val="0"/>
                <color rgb="FFC00000"/>
              </font>
              <fill>
                <patternFill>
                  <bgColor rgb="FFFFFF00"/>
                </patternFill>
              </fill>
            </x14:dxf>
          </x14:cfRule>
          <xm:sqref>M61:M64 M66:M73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249977111117893"/>
  </sheetPr>
  <dimension ref="A1:CF126"/>
  <sheetViews>
    <sheetView showGridLines="0" zoomScaleNormal="100" workbookViewId="0">
      <selection activeCell="J31" sqref="J31"/>
    </sheetView>
  </sheetViews>
  <sheetFormatPr defaultColWidth="9.140625" defaultRowHeight="15" x14ac:dyDescent="0.25"/>
  <cols>
    <col min="1" max="1" width="4.7109375" style="13" customWidth="1"/>
    <col min="2" max="2" width="4.42578125" style="303" customWidth="1"/>
    <col min="3" max="3" width="21.85546875" style="303" customWidth="1"/>
    <col min="4" max="4" width="20.85546875" style="303" customWidth="1"/>
    <col min="5" max="6" width="11.42578125" style="303" customWidth="1"/>
    <col min="7" max="7" width="13.42578125" style="303" customWidth="1"/>
    <col min="8" max="13" width="11.42578125" style="303" customWidth="1"/>
    <col min="14" max="14" width="14" style="303" customWidth="1"/>
    <col min="15" max="15" width="9.140625" style="303"/>
    <col min="16" max="16" width="9.140625" style="3" customWidth="1"/>
    <col min="17" max="19" width="9.140625" style="303" customWidth="1"/>
    <col min="20" max="20" width="10.5703125" style="303" customWidth="1"/>
    <col min="21" max="21" width="11" style="303" customWidth="1"/>
    <col min="22" max="22" width="11.140625" style="303" customWidth="1"/>
    <col min="23" max="27" width="10.5703125" style="303" customWidth="1"/>
    <col min="28" max="28" width="11.7109375" style="303" customWidth="1"/>
    <col min="29" max="16384" width="9.140625" style="303"/>
  </cols>
  <sheetData>
    <row r="1" spans="1:32" x14ac:dyDescent="0.25">
      <c r="A1" s="203"/>
    </row>
    <row r="2" spans="1:32" ht="63" customHeight="1" x14ac:dyDescent="0.25">
      <c r="D2" s="692" t="s">
        <v>2</v>
      </c>
      <c r="E2" s="692"/>
      <c r="F2" s="692"/>
      <c r="G2" s="692"/>
      <c r="H2" s="692"/>
      <c r="I2" s="692"/>
      <c r="J2" s="692"/>
      <c r="K2" s="692"/>
      <c r="L2" s="692"/>
      <c r="R2" s="3"/>
      <c r="S2" s="3"/>
      <c r="T2" s="3"/>
      <c r="U2" s="3"/>
      <c r="V2" s="3"/>
      <c r="W2" s="3"/>
      <c r="X2" s="3"/>
      <c r="Y2" s="3"/>
      <c r="Z2" s="3"/>
      <c r="AA2" s="3"/>
      <c r="AB2" s="3"/>
      <c r="AC2" s="3"/>
      <c r="AD2" s="3"/>
      <c r="AE2" s="13"/>
      <c r="AF2" s="13"/>
    </row>
    <row r="3" spans="1:32" ht="10.5" customHeight="1" x14ac:dyDescent="0.25">
      <c r="D3" s="1"/>
      <c r="R3" s="3"/>
      <c r="S3" s="3"/>
      <c r="T3" s="3"/>
      <c r="U3" s="3"/>
      <c r="V3" s="3"/>
      <c r="W3" s="3"/>
      <c r="X3" s="3"/>
      <c r="Y3" s="3"/>
      <c r="Z3" s="3"/>
      <c r="AA3" s="3"/>
      <c r="AB3" s="3"/>
      <c r="AC3" s="3"/>
      <c r="AD3" s="3"/>
      <c r="AE3" s="13"/>
      <c r="AF3" s="13"/>
    </row>
    <row r="4" spans="1:32" ht="39" customHeight="1" x14ac:dyDescent="0.25">
      <c r="B4" s="553"/>
      <c r="C4" s="553"/>
      <c r="D4" s="553">
        <f>'2022 Annual Report'!D4</f>
        <v>2022</v>
      </c>
      <c r="E4" s="553" t="s">
        <v>81</v>
      </c>
      <c r="F4" s="553"/>
      <c r="G4" s="553"/>
      <c r="H4" s="553"/>
      <c r="I4" s="553"/>
      <c r="J4" s="553"/>
      <c r="K4" s="553"/>
      <c r="L4" s="553"/>
      <c r="M4" s="553"/>
      <c r="N4" s="553"/>
      <c r="Q4" s="13"/>
      <c r="R4" s="3"/>
      <c r="S4" s="3"/>
      <c r="T4" s="3"/>
      <c r="U4" s="3"/>
      <c r="V4" s="3"/>
      <c r="W4" s="3"/>
      <c r="X4" s="3"/>
      <c r="Y4" s="3"/>
      <c r="Z4" s="3"/>
      <c r="AA4" s="3"/>
      <c r="AB4" s="3"/>
      <c r="AC4" s="3"/>
      <c r="AD4" s="3"/>
      <c r="AE4" s="13"/>
      <c r="AF4" s="13"/>
    </row>
    <row r="5" spans="1:32" ht="10.5" customHeight="1" x14ac:dyDescent="0.25">
      <c r="A5" s="699">
        <v>1</v>
      </c>
      <c r="B5" s="699"/>
      <c r="C5" s="699"/>
      <c r="D5" s="699"/>
      <c r="E5" s="699"/>
      <c r="F5" s="699"/>
    </row>
    <row r="6" spans="1:32" ht="7.5" customHeight="1" x14ac:dyDescent="0.25">
      <c r="Q6" s="13"/>
      <c r="R6" s="3"/>
      <c r="S6" s="3"/>
      <c r="T6" s="3"/>
      <c r="U6" s="3"/>
      <c r="V6" s="3"/>
      <c r="W6" s="3"/>
      <c r="X6" s="3"/>
      <c r="Y6" s="3"/>
      <c r="Z6" s="3"/>
      <c r="AA6" s="3"/>
      <c r="AB6" s="3"/>
      <c r="AC6" s="3"/>
      <c r="AD6" s="3"/>
      <c r="AE6" s="13"/>
      <c r="AF6" s="13"/>
    </row>
    <row r="7" spans="1:32" ht="34.5" customHeight="1" x14ac:dyDescent="0.25">
      <c r="B7" s="814" t="s">
        <v>108</v>
      </c>
      <c r="C7" s="814"/>
      <c r="D7" s="814"/>
      <c r="E7" s="814"/>
      <c r="F7" s="814"/>
      <c r="G7" s="814"/>
      <c r="H7" s="814"/>
      <c r="I7" s="814"/>
      <c r="J7" s="814"/>
      <c r="K7" s="814"/>
      <c r="L7" s="814"/>
      <c r="M7" s="814"/>
      <c r="N7" s="814"/>
      <c r="O7" s="159"/>
    </row>
    <row r="8" spans="1:32" ht="38.25" customHeight="1" x14ac:dyDescent="0.25">
      <c r="B8" s="700" t="str">
        <f>'2022 Annual Report'!B8:N8</f>
        <v>~ Remember ~ 
The filing deadline is May 15, 2024</v>
      </c>
      <c r="C8" s="701"/>
      <c r="D8" s="701"/>
      <c r="E8" s="701"/>
      <c r="F8" s="701"/>
      <c r="G8" s="701"/>
      <c r="H8" s="701"/>
      <c r="I8" s="701"/>
      <c r="J8" s="701"/>
      <c r="K8" s="701"/>
      <c r="L8" s="701"/>
      <c r="M8" s="701"/>
      <c r="N8" s="701"/>
    </row>
    <row r="9" spans="1:32" s="321" customFormat="1" ht="125.25" customHeight="1" x14ac:dyDescent="0.25">
      <c r="A9" s="205"/>
      <c r="B9" s="820" t="s">
        <v>109</v>
      </c>
      <c r="C9" s="820"/>
      <c r="D9" s="820"/>
      <c r="E9" s="820"/>
      <c r="F9" s="820"/>
      <c r="G9" s="820"/>
      <c r="H9" s="820"/>
      <c r="I9" s="820"/>
      <c r="J9" s="820"/>
      <c r="K9" s="820"/>
      <c r="L9" s="820"/>
      <c r="M9" s="820"/>
      <c r="N9" s="820"/>
      <c r="P9" s="3"/>
    </row>
    <row r="10" spans="1:32" s="321" customFormat="1" ht="22.5" customHeight="1" x14ac:dyDescent="0.25">
      <c r="A10" s="205"/>
      <c r="B10" s="821" t="s">
        <v>86</v>
      </c>
      <c r="C10" s="821"/>
      <c r="D10" s="821"/>
      <c r="E10" s="821"/>
      <c r="F10" s="821"/>
      <c r="G10" s="821"/>
      <c r="H10" s="821"/>
      <c r="I10" s="821"/>
      <c r="J10" s="821"/>
      <c r="K10" s="821"/>
      <c r="L10" s="821"/>
      <c r="M10" s="821"/>
      <c r="N10" s="821"/>
      <c r="P10" s="3"/>
    </row>
    <row r="11" spans="1:32" ht="35.25" customHeight="1" x14ac:dyDescent="0.25">
      <c r="B11" s="706" t="s">
        <v>3</v>
      </c>
      <c r="C11" s="706"/>
      <c r="D11" s="706"/>
      <c r="E11" s="706"/>
      <c r="F11" s="706"/>
      <c r="G11" s="706"/>
      <c r="H11" s="706"/>
      <c r="I11" s="706"/>
      <c r="J11" s="706"/>
      <c r="K11" s="706"/>
      <c r="L11" s="707" t="s">
        <v>63</v>
      </c>
      <c r="M11" s="707"/>
      <c r="N11" s="707"/>
      <c r="O11" s="345" t="str">
        <f>IF(OR(AND(O31&lt;&gt;"",'2022 Annual Report'!$D$432&lt;&gt;""),AND(O34&lt;&gt;"",'2022 Annual Report'!$D$432&lt;&gt;""),AND(O39&lt;&gt;"",'2022 Annual Report'!$D$432&lt;&gt;""),AND(O40&lt;&gt;"",'2022 Annual Report'!$D$432&lt;&gt;""),AND(O41&lt;&gt;"",'2022 Annual Report'!$D$432&lt;&gt;""),AND(O42&lt;&gt;"",'2022 Annual Report'!$D$432&lt;&gt;""),AND(O43&lt;&gt;"",'2022 Annual Report'!$D$432&lt;&gt;""),AND(O44&lt;&gt;"",'2022 Annual Report'!$D$432&lt;&gt;""),AND(O45&lt;&gt;"",'2022 Annual Report'!$D$432&lt;&gt;""),AND(O46&lt;&gt;"",'2022 Annual Report'!$D$432&lt;&gt;""),AND(O47&lt;&gt;"",'2022 Annual Report'!$D$432&lt;&gt;""),AND(O48&lt;&gt;"",'2022 Annual Report'!$D$432&lt;&gt;""),AND(O49&lt;&gt;"",'2022 Annual Report'!$D$432&lt;&gt;""),AND(O50&lt;&gt;"",'2022 Annual Report'!$D$432&lt;&gt;""),AND(O51&lt;&gt;"",'2022 Annual Report'!$D$432&lt;&gt;""),AND(O52&lt;&gt;"",'2022 Annual Report'!$D$432&lt;&gt;""),AND(O53&lt;&gt;"",'2022 Annual Report'!$D$432&lt;&gt;""),AND(O63&lt;&gt;"",'2022 Annual Report'!$D$432&lt;&gt;""),AND(O64&lt;&gt;"",'2022 Annual Report'!$D$432&lt;&gt;""),AND(O65&lt;&gt;"",'2022 Annual Report'!$D$432&lt;&gt;""),AND(O68&lt;&gt;"",'2022 Annual Report'!$D$432&lt;&gt;""),AND(O69&lt;&gt;"",'2022 Annual Report'!$D$432&lt;&gt;""),AND(O70&lt;&gt;"",'2022 Annual Report'!$D$432&lt;&gt;""),AND(O73&lt;&gt;"",'2022 Annual Report'!$D$432&lt;&gt;""),AND(O74&lt;&gt;"",'2022 Annual Report'!$D$432&lt;&gt;""),AND(O75&lt;&gt;"",'2022 Annual Report'!$D$432&lt;&gt;""),AND(O94&lt;&gt;"",'2022 Annual Report'!$D$432&lt;&gt;""),AND(O95&lt;&gt;"",'2022 Annual Report'!$D$432&lt;&gt;""),AND(O96&lt;&gt;"",'2022 Annual Report'!$D$432&lt;&gt;""),AND(O117&lt;&gt;"",'2022 Annual Report'!$D$432&lt;&gt;""),AND(O118&lt;&gt;"",'2022 Annual Report'!$D$432&lt;&gt;"")),1,"")</f>
        <v/>
      </c>
    </row>
    <row r="12" spans="1:32" ht="14.45" customHeight="1" x14ac:dyDescent="0.25">
      <c r="D12" s="7"/>
      <c r="E12" s="7"/>
      <c r="G12" s="7"/>
      <c r="H12" s="7"/>
      <c r="I12" s="7"/>
      <c r="J12" s="7"/>
      <c r="K12" s="7"/>
      <c r="R12" s="200"/>
      <c r="S12" s="200"/>
    </row>
    <row r="13" spans="1:32" ht="15" customHeight="1" x14ac:dyDescent="0.25">
      <c r="C13" s="97"/>
      <c r="D13" s="8"/>
      <c r="E13" s="704" t="s">
        <v>1</v>
      </c>
      <c r="F13" s="705"/>
      <c r="G13" s="705"/>
      <c r="H13" s="705"/>
      <c r="I13" s="705"/>
      <c r="J13" s="705"/>
      <c r="K13" s="705"/>
      <c r="L13" s="705"/>
      <c r="M13" s="705"/>
      <c r="N13" s="97"/>
      <c r="R13" s="200"/>
      <c r="S13" s="200"/>
      <c r="T13" s="200"/>
    </row>
    <row r="14" spans="1:32" x14ac:dyDescent="0.25">
      <c r="R14" s="200"/>
      <c r="S14" s="200"/>
      <c r="T14" s="200"/>
    </row>
    <row r="15" spans="1:32" ht="43.5" customHeight="1" x14ac:dyDescent="0.35">
      <c r="C15" s="822" t="str">
        <f>"The information from row 17 - 29 below is auto-populated from the "&amp;D4&amp;" Annual Report tab."</f>
        <v>The information from row 17 - 29 below is auto-populated from the 2022 Annual Report tab.</v>
      </c>
      <c r="D15" s="822"/>
      <c r="E15" s="822"/>
      <c r="F15" s="822"/>
      <c r="G15" s="822"/>
      <c r="H15" s="822"/>
      <c r="I15" s="822"/>
      <c r="J15" s="822"/>
      <c r="K15" s="822"/>
      <c r="L15" s="822"/>
      <c r="M15" s="822"/>
      <c r="N15" s="822"/>
      <c r="Q15" s="13"/>
      <c r="R15" s="200"/>
      <c r="S15" s="200"/>
      <c r="T15" s="200"/>
      <c r="U15" s="3"/>
      <c r="V15" s="3"/>
      <c r="W15" s="3"/>
      <c r="X15" s="3"/>
      <c r="Y15" s="3"/>
      <c r="Z15" s="3"/>
      <c r="AA15" s="3"/>
      <c r="AB15" s="3"/>
      <c r="AC15" s="3"/>
      <c r="AD15" s="3"/>
      <c r="AE15" s="13"/>
      <c r="AF15" s="13"/>
    </row>
    <row r="16" spans="1:32" ht="12.75" customHeight="1" x14ac:dyDescent="0.25">
      <c r="Q16" s="13"/>
      <c r="R16" s="3" t="s">
        <v>55</v>
      </c>
      <c r="S16" s="459">
        <f>IF(D4&lt;&gt;"",14,14)</f>
        <v>14</v>
      </c>
      <c r="T16" s="200"/>
      <c r="U16" s="3"/>
      <c r="V16" s="3"/>
      <c r="W16" s="3"/>
      <c r="X16" s="3"/>
      <c r="Y16" s="3"/>
      <c r="Z16" s="3"/>
      <c r="AA16" s="3"/>
      <c r="AB16" s="3"/>
      <c r="AC16" s="3"/>
      <c r="AD16" s="3"/>
      <c r="AE16" s="13"/>
      <c r="AF16" s="13"/>
    </row>
    <row r="17" spans="1:20" ht="25.5" customHeight="1" x14ac:dyDescent="0.25">
      <c r="B17" s="2"/>
      <c r="C17" s="17" t="s">
        <v>4</v>
      </c>
      <c r="D17" s="318">
        <f>'2022 Annual Report'!D16</f>
        <v>0</v>
      </c>
      <c r="E17" s="297" t="s">
        <v>7</v>
      </c>
      <c r="O17" s="214"/>
      <c r="P17" s="364"/>
      <c r="R17" s="3" t="s">
        <v>49</v>
      </c>
      <c r="S17" s="459">
        <f>IF(AND(N80&lt;70%,N80&lt;&gt;0%),69,14)</f>
        <v>14</v>
      </c>
      <c r="T17" s="200"/>
    </row>
    <row r="18" spans="1:20" x14ac:dyDescent="0.25">
      <c r="R18" s="3" t="s">
        <v>50</v>
      </c>
      <c r="S18" s="459">
        <f>IF(AND(N98&lt;70%,N98&lt;&gt;0%),83,14)</f>
        <v>14</v>
      </c>
      <c r="T18" s="200"/>
    </row>
    <row r="19" spans="1:20" ht="25.5" customHeight="1" x14ac:dyDescent="0.25">
      <c r="B19" s="2"/>
      <c r="C19" s="17" t="s">
        <v>22</v>
      </c>
      <c r="D19" s="815">
        <f>'2022 Annual Report'!D18:M18</f>
        <v>0</v>
      </c>
      <c r="E19" s="816"/>
      <c r="F19" s="816"/>
      <c r="G19" s="816"/>
      <c r="H19" s="816"/>
      <c r="I19" s="816"/>
      <c r="J19" s="816"/>
      <c r="K19" s="816"/>
      <c r="L19" s="816"/>
      <c r="M19" s="817"/>
      <c r="O19" s="214"/>
      <c r="P19" s="364"/>
      <c r="R19" s="3" t="s">
        <v>51</v>
      </c>
      <c r="S19" s="459">
        <f>IF(AND(N120&lt;70%,N120&lt;&gt;0%),83,14)</f>
        <v>14</v>
      </c>
      <c r="T19" s="200"/>
    </row>
    <row r="20" spans="1:20" x14ac:dyDescent="0.25">
      <c r="R20" s="3" t="s">
        <v>52</v>
      </c>
      <c r="S20" s="13"/>
      <c r="T20" s="200"/>
    </row>
    <row r="21" spans="1:20" ht="18.75" customHeight="1" x14ac:dyDescent="0.25">
      <c r="B21" s="2"/>
      <c r="C21" s="18" t="s">
        <v>5</v>
      </c>
      <c r="D21" s="815">
        <f>'2022 Annual Report'!D20:E20</f>
        <v>0</v>
      </c>
      <c r="E21" s="817"/>
      <c r="F21" s="697" t="s">
        <v>6</v>
      </c>
      <c r="G21" s="698"/>
      <c r="H21" s="319">
        <f>'2022 Annual Report'!H20</f>
        <v>0</v>
      </c>
      <c r="O21" s="214"/>
      <c r="P21" s="364"/>
      <c r="R21" s="3" t="s">
        <v>53</v>
      </c>
      <c r="S21" s="13"/>
      <c r="T21" s="200"/>
    </row>
    <row r="22" spans="1:20" x14ac:dyDescent="0.25">
      <c r="R22" s="3" t="s">
        <v>54</v>
      </c>
      <c r="S22" s="3"/>
      <c r="T22" s="200"/>
    </row>
    <row r="23" spans="1:20" x14ac:dyDescent="0.25">
      <c r="R23" s="3"/>
      <c r="S23" s="3"/>
      <c r="T23" s="200"/>
    </row>
    <row r="24" spans="1:20" ht="27" customHeight="1" x14ac:dyDescent="0.25">
      <c r="C24" s="17" t="str">
        <f>'2022 Annual Report'!C23</f>
        <v xml:space="preserve">    Accreditation Status: 
as of 1/1/2024</v>
      </c>
      <c r="D24" s="819" t="str">
        <f>'2022 Annual Report'!D23:F23</f>
        <v>Please Select</v>
      </c>
      <c r="E24" s="819"/>
      <c r="F24" s="819"/>
      <c r="O24" s="214"/>
      <c r="P24" s="364"/>
      <c r="R24" s="3" t="s">
        <v>56</v>
      </c>
      <c r="S24" s="3"/>
      <c r="T24" s="200"/>
    </row>
    <row r="25" spans="1:20" x14ac:dyDescent="0.25">
      <c r="R25" s="3" t="s">
        <v>57</v>
      </c>
      <c r="S25" s="3"/>
      <c r="T25" s="200"/>
    </row>
    <row r="26" spans="1:20" x14ac:dyDescent="0.25">
      <c r="R26" s="213"/>
    </row>
    <row r="27" spans="1:20" s="321" customFormat="1" ht="36" customHeight="1" x14ac:dyDescent="0.25">
      <c r="A27" s="205"/>
      <c r="B27" s="44"/>
      <c r="C27" s="713" t="str">
        <f>IF(AND('2022 Annual Report'!G37="No",'2022 Annual Report'!G44="No",'2022 Annual Report'!G46="No"),"",IF(COUNTIF('2022 Annual Report'!I37:N46,"Error*"),"",IF('2022 Annual Report'!G44="Please Select","",'2022 Annual Report'!C44:F44)))</f>
        <v/>
      </c>
      <c r="D27" s="713"/>
      <c r="E27" s="713"/>
      <c r="F27" s="713"/>
      <c r="G27" s="487" t="str">
        <f>IF(AND('2022 Annual Report'!G37="No",'2022 Annual Report'!G44="No",'2022 Annual Report'!G46="No"),"",IF(COUNTIF('2022 Annual Report'!I37:N46,"Error*"),"",IF('2022 Annual Report'!G44="Please Select","",'2022 Annual Report'!G44)))</f>
        <v/>
      </c>
      <c r="P27" s="364"/>
    </row>
    <row r="28" spans="1:20" s="321" customFormat="1" ht="15.75" customHeight="1" x14ac:dyDescent="0.25">
      <c r="A28" s="205"/>
      <c r="P28" s="3"/>
    </row>
    <row r="29" spans="1:20" s="321" customFormat="1" ht="38.25" customHeight="1" x14ac:dyDescent="0.25">
      <c r="A29" s="205"/>
      <c r="B29" s="44"/>
      <c r="C29" s="825" t="str">
        <f>IF(AND('2022 Annual Report'!G37="No",'2022 Annual Report'!G44="No",'2022 Annual Report'!G46="No"),"",IF(COUNTIF('2022 Annual Report'!I37:N46,"Error*"),"",'2022 Annual Report'!C46:F46))</f>
        <v/>
      </c>
      <c r="D29" s="825"/>
      <c r="E29" s="825"/>
      <c r="F29" s="825"/>
      <c r="G29" s="346" t="str">
        <f>IF(AND('2022 Annual Report'!G37="No",'2022 Annual Report'!G44="No",'2022 Annual Report'!G46="No"),"",IF(COUNTIF('2022 Annual Report'!I37:N46,"Error*"),"",IF('2022 Annual Report'!G46="Please Select","",('2022 Annual Report'!G46))))</f>
        <v/>
      </c>
      <c r="O29" s="221"/>
      <c r="P29" s="364"/>
    </row>
    <row r="30" spans="1:20" ht="26.25" customHeight="1" x14ac:dyDescent="0.25">
      <c r="C30" s="320"/>
    </row>
    <row r="31" spans="1:20" s="341" customFormat="1" ht="108.75" customHeight="1" x14ac:dyDescent="0.25">
      <c r="A31" s="13"/>
      <c r="B31" s="183"/>
      <c r="C31" s="823" t="str">
        <f>IF(AND(G27="Yes",G29="Yes"),D4&amp;" Annual Report tab:  Outcomes data for the main campus is reported by cohort.
"&amp;D4&amp; " Satellite(s) tab:  Outcomes data for satellites are reported by location NOT by cohort.    
"&amp;"By selecting 'Yes', I attest the satellite outcomes data on this tab is entered by location NOT by cohort.","")</f>
        <v/>
      </c>
      <c r="D31" s="823"/>
      <c r="E31" s="823"/>
      <c r="F31" s="823"/>
      <c r="G31" s="823"/>
      <c r="H31" s="823"/>
      <c r="I31" s="824"/>
      <c r="J31" s="395" t="s">
        <v>23</v>
      </c>
      <c r="O31" s="339" t="str">
        <f>IF(P31=1, "&lt;===", "")</f>
        <v/>
      </c>
      <c r="P31" s="364" t="str">
        <f>IF(AND($G$27="Yes",G29="Yes",$J$31&lt;&gt;"Yes",'2022 Annual Report'!$D$432&lt;&gt;""), 1, "")</f>
        <v/>
      </c>
    </row>
    <row r="33" spans="1:30" s="317" customFormat="1" x14ac:dyDescent="0.25">
      <c r="A33" s="205"/>
      <c r="J33" s="818"/>
      <c r="K33" s="818"/>
      <c r="L33" s="818"/>
      <c r="M33" s="818"/>
      <c r="N33" s="818"/>
      <c r="P33" s="3"/>
    </row>
    <row r="34" spans="1:30" ht="23.25" customHeight="1" x14ac:dyDescent="0.25">
      <c r="A34" s="205"/>
      <c r="C34" s="810" t="str">
        <f>IF(AND(G27="Yes",G29&lt;&gt;"Please Select"),"Number of active satellite locations in the "&amp;D4&amp;" calendar year:","")</f>
        <v/>
      </c>
      <c r="D34" s="810"/>
      <c r="E34" s="810"/>
      <c r="F34" s="810"/>
      <c r="G34" s="810"/>
      <c r="H34" s="811"/>
      <c r="I34" s="811"/>
      <c r="J34" s="343"/>
      <c r="K34" s="303" t="str">
        <f>IF(AND(G27="Yes",G29&lt;&gt;"Please Select",H34=""), " &lt;=== Select from drop down list","")</f>
        <v/>
      </c>
      <c r="O34" s="295" t="str">
        <f>IF(P34=1, "&lt;===", "")</f>
        <v/>
      </c>
      <c r="P34" s="364" t="str">
        <f>IF(OR(AND(G27="Yes",H34="",G29&lt;&gt;"Please Select",'2022 Annual Report'!$D$432&lt;&gt;""), AND(G27="Yes",G29&lt;&gt;"Please Select",H34&lt;&gt;"",P63&lt;&gt;"",'2022 Annual Report'!$D$432&lt;&gt;"")),1, "")</f>
        <v/>
      </c>
    </row>
    <row r="35" spans="1:30" x14ac:dyDescent="0.25">
      <c r="A35" s="205"/>
    </row>
    <row r="36" spans="1:30" ht="21.75" customHeight="1" x14ac:dyDescent="0.25">
      <c r="A36" s="205"/>
      <c r="C36" s="860" t="str">
        <f>IF(AND(G27="Yes",G29&lt;&gt;"Please Select"),"List All Active "&amp;D4&amp;" Satellite Locations","")</f>
        <v/>
      </c>
      <c r="D36" s="860"/>
      <c r="E36" s="860"/>
      <c r="F36" s="860"/>
      <c r="G36" s="860"/>
      <c r="H36" s="860"/>
      <c r="I36" s="860"/>
      <c r="J36" s="860"/>
      <c r="K36" s="860"/>
    </row>
    <row r="37" spans="1:30" s="342" customFormat="1" ht="74.25" customHeight="1" x14ac:dyDescent="0.25">
      <c r="A37" s="205"/>
      <c r="C37" s="859" t="str">
        <f>IF(AND(G27="Yes",G29="Yes",H34&gt;=10),"Programs with outcomes data for more than nine (9) active satellite locations must combine the outcomes data with another satellite location.  "&amp;"Select the same number column as the combined location, and report the combined data in the summary table column.  
Select 'No Graduates' if the satellite location did not have graduates.",IF(AND(G27="Yes",G29="Yes",H34&lt;=9),"List each of the active satellite locations, select a separate column number for each location, 
and provide the location's outcomes data in the matching column in the summary tables below.  "&amp;"
Select 'No Graduates' if the satellite location did not have graduates.",IF(AND(G27="Yes",G29="No"),"The program has indicated there were no graduates at the satellite location(s) in the reporting year. 
Therefore, only the name and state of the satellite location should be listed.  
NO DATA IS REQUIRED FOR THE TABLES BELOW.","")))</f>
        <v/>
      </c>
      <c r="D37" s="859"/>
      <c r="E37" s="859"/>
      <c r="F37" s="859"/>
      <c r="G37" s="859"/>
      <c r="H37" s="859"/>
      <c r="I37" s="859"/>
      <c r="J37" s="859"/>
      <c r="K37" s="859"/>
      <c r="P37" s="3"/>
    </row>
    <row r="38" spans="1:30" ht="73.5" customHeight="1" x14ac:dyDescent="0.25">
      <c r="A38" s="205"/>
      <c r="C38" s="863" t="str">
        <f>IF(C36&lt;&gt;"","Name","")</f>
        <v/>
      </c>
      <c r="D38" s="863"/>
      <c r="E38" s="863"/>
      <c r="F38" s="863" t="str">
        <f>IF(C36&lt;&gt;"","State","")</f>
        <v/>
      </c>
      <c r="G38" s="863"/>
      <c r="H38" s="348" t="str">
        <f>IF(C36&lt;&gt;"", "Satellite located in the same state?","")</f>
        <v/>
      </c>
      <c r="I38" s="316" t="str">
        <f>IF(C36&lt;&gt;"","Total Number of cohorts in "&amp;D4,"")</f>
        <v/>
      </c>
      <c r="J38" s="862" t="str">
        <f>IF(AND($G$29="Yes",C36&lt;&gt;""),"Select which column the outcomes data will be reported in the summary tables below",IF(AND($G$29="No",C36&lt;&gt;""),"No Graduates Indicated.  Outcomes tables below should be left empty",""))</f>
        <v/>
      </c>
      <c r="K38" s="862"/>
      <c r="Q38" s="200"/>
      <c r="T38" s="3" t="s">
        <v>93</v>
      </c>
      <c r="U38" s="3" t="s">
        <v>110</v>
      </c>
      <c r="V38" s="3" t="s">
        <v>111</v>
      </c>
      <c r="W38" s="3" t="s">
        <v>112</v>
      </c>
      <c r="X38" s="3" t="s">
        <v>113</v>
      </c>
      <c r="Y38" s="3" t="s">
        <v>114</v>
      </c>
      <c r="Z38" s="3" t="s">
        <v>115</v>
      </c>
      <c r="AA38" s="3" t="s">
        <v>116</v>
      </c>
      <c r="AB38" s="3" t="s">
        <v>117</v>
      </c>
      <c r="AC38" s="3" t="s">
        <v>118</v>
      </c>
      <c r="AD38" s="3"/>
    </row>
    <row r="39" spans="1:30" ht="18" customHeight="1" x14ac:dyDescent="0.25">
      <c r="A39" s="205"/>
      <c r="C39" s="828"/>
      <c r="D39" s="828"/>
      <c r="E39" s="828"/>
      <c r="F39" s="829"/>
      <c r="G39" s="829"/>
      <c r="H39" s="227" t="str">
        <f t="shared" ref="H39:H53" si="0">IF(AND($F39&lt;&gt;"",$H$21=$F39),"Yes",IF(AND($F39&lt;&gt;"",$H$21&lt;&gt;$F39),"No",""))</f>
        <v/>
      </c>
      <c r="I39" s="414"/>
      <c r="J39" s="813"/>
      <c r="K39" s="813"/>
      <c r="L39" s="812" t="str">
        <f>IF(AND($G$29="Yes",$H$34&gt;=1,$J39=""), " &lt;=== Select from drop down list","")</f>
        <v/>
      </c>
      <c r="M39" s="812"/>
      <c r="N39" s="812"/>
      <c r="O39" s="220" t="str">
        <f t="shared" ref="O39:O53" si="1">IF(P39=1, "&lt;===", "")</f>
        <v/>
      </c>
      <c r="P39" s="340" t="str">
        <f>IF(OR(AND($G$29="Yes",$H$34&gt;=1,'2022 Annual Report'!$D$432&lt;&gt;"",OR($C39="",$F39="",$I39="",$J39=""))),1,"")</f>
        <v/>
      </c>
    </row>
    <row r="40" spans="1:30" ht="20.100000000000001" customHeight="1" x14ac:dyDescent="0.25">
      <c r="A40" s="205"/>
      <c r="C40" s="828"/>
      <c r="D40" s="828"/>
      <c r="E40" s="828"/>
      <c r="F40" s="829"/>
      <c r="G40" s="829"/>
      <c r="H40" s="227" t="str">
        <f t="shared" si="0"/>
        <v/>
      </c>
      <c r="I40" s="414"/>
      <c r="J40" s="813"/>
      <c r="K40" s="813"/>
      <c r="L40" s="812" t="str">
        <f>IF(AND($G$29="Yes",$H$34&gt;=2,$J40=""), " &lt;=== Select from drop down list","")</f>
        <v/>
      </c>
      <c r="M40" s="812"/>
      <c r="N40" s="812"/>
      <c r="O40" s="220" t="str">
        <f t="shared" si="1"/>
        <v/>
      </c>
      <c r="P40" s="340" t="str">
        <f>IF(OR(AND($G$29="Yes",$H$34&gt;=2,'2022 Annual Report'!$D$432&lt;&gt;"",OR($C40="",$F40="",$I40="",$J40=""))),1,"")</f>
        <v/>
      </c>
    </row>
    <row r="41" spans="1:30" ht="20.100000000000001" customHeight="1" x14ac:dyDescent="0.25">
      <c r="A41" s="205"/>
      <c r="C41" s="828"/>
      <c r="D41" s="828"/>
      <c r="E41" s="828"/>
      <c r="F41" s="829"/>
      <c r="G41" s="829"/>
      <c r="H41" s="227" t="str">
        <f t="shared" si="0"/>
        <v/>
      </c>
      <c r="I41" s="414"/>
      <c r="J41" s="813"/>
      <c r="K41" s="813"/>
      <c r="L41" s="812" t="str">
        <f>IF(AND($G$29="Yes",$H$34&gt;=3,$J41=""), " &lt;=== Select from drop down list","")</f>
        <v/>
      </c>
      <c r="M41" s="812"/>
      <c r="N41" s="812"/>
      <c r="O41" s="220" t="str">
        <f t="shared" si="1"/>
        <v/>
      </c>
      <c r="P41" s="340" t="str">
        <f>IF(OR(AND($G$29="Yes",$H$34&gt;=3,'2022 Annual Report'!$D$432&lt;&gt;"",OR($C41="",$F41="",$I41="",$J41=""))),1,"")</f>
        <v/>
      </c>
    </row>
    <row r="42" spans="1:30" ht="20.100000000000001" customHeight="1" x14ac:dyDescent="0.25">
      <c r="A42" s="205"/>
      <c r="C42" s="828"/>
      <c r="D42" s="828"/>
      <c r="E42" s="828"/>
      <c r="F42" s="829"/>
      <c r="G42" s="829"/>
      <c r="H42" s="227" t="str">
        <f t="shared" si="0"/>
        <v/>
      </c>
      <c r="I42" s="414"/>
      <c r="J42" s="813"/>
      <c r="K42" s="813"/>
      <c r="L42" s="812" t="str">
        <f>IF(AND($G$29="Yes",$H$34&gt;=4,$J42=""), " &lt;=== Select from drop down list","")</f>
        <v/>
      </c>
      <c r="M42" s="812"/>
      <c r="N42" s="812"/>
      <c r="O42" s="220" t="str">
        <f t="shared" si="1"/>
        <v/>
      </c>
      <c r="P42" s="340" t="str">
        <f>IF(OR(AND($G$29="Yes",$H$34&gt;=4,'2022 Annual Report'!$D$432&lt;&gt;"",OR($C42="",$F42="",$I42="",$J42=""))),1,"")</f>
        <v/>
      </c>
    </row>
    <row r="43" spans="1:30" ht="20.100000000000001" customHeight="1" x14ac:dyDescent="0.25">
      <c r="A43" s="205"/>
      <c r="C43" s="828"/>
      <c r="D43" s="828"/>
      <c r="E43" s="828"/>
      <c r="F43" s="829"/>
      <c r="G43" s="829"/>
      <c r="H43" s="227" t="str">
        <f t="shared" si="0"/>
        <v/>
      </c>
      <c r="I43" s="414"/>
      <c r="J43" s="813"/>
      <c r="K43" s="813"/>
      <c r="L43" s="812" t="str">
        <f>IF(AND($G$29="Yes",$H$34&gt;=5,$J43=""), " &lt;=== Select from drop down list","")</f>
        <v/>
      </c>
      <c r="M43" s="812"/>
      <c r="N43" s="812"/>
      <c r="O43" s="220" t="str">
        <f t="shared" si="1"/>
        <v/>
      </c>
      <c r="P43" s="340" t="str">
        <f>IF(OR(AND($G$29="Yes",$H$34&gt;=5,'2022 Annual Report'!$D$432&lt;&gt;"",OR($C43="",$F43="",$I43="",$J43=""))),1,"")</f>
        <v/>
      </c>
    </row>
    <row r="44" spans="1:30" ht="20.100000000000001" customHeight="1" x14ac:dyDescent="0.25">
      <c r="A44" s="205"/>
      <c r="C44" s="828"/>
      <c r="D44" s="828"/>
      <c r="E44" s="828"/>
      <c r="F44" s="829"/>
      <c r="G44" s="829"/>
      <c r="H44" s="227" t="str">
        <f t="shared" si="0"/>
        <v/>
      </c>
      <c r="I44" s="414"/>
      <c r="J44" s="813"/>
      <c r="K44" s="813"/>
      <c r="L44" s="812" t="str">
        <f>IF(AND($G$29="Yes",$H$34&gt;=6,$J44=""), " &lt;=== Select from drop down list","")</f>
        <v/>
      </c>
      <c r="M44" s="812"/>
      <c r="N44" s="812"/>
      <c r="O44" s="220" t="str">
        <f t="shared" si="1"/>
        <v/>
      </c>
      <c r="P44" s="340" t="str">
        <f>IF(OR(AND($G$29="Yes",$H$34&gt;=6,'2022 Annual Report'!$D$432&lt;&gt;"",OR($C44="",$F44="",$I44="",$J44=""))),1,"")</f>
        <v/>
      </c>
    </row>
    <row r="45" spans="1:30" ht="20.100000000000001" customHeight="1" x14ac:dyDescent="0.25">
      <c r="A45" s="205"/>
      <c r="C45" s="828"/>
      <c r="D45" s="828"/>
      <c r="E45" s="828"/>
      <c r="F45" s="829"/>
      <c r="G45" s="829"/>
      <c r="H45" s="227" t="str">
        <f t="shared" si="0"/>
        <v/>
      </c>
      <c r="I45" s="414"/>
      <c r="J45" s="813"/>
      <c r="K45" s="813"/>
      <c r="L45" s="812" t="str">
        <f>IF(AND($G$29="Yes",$H$34&gt;=7,$J45=""), " &lt;=== Select from drop down list","")</f>
        <v/>
      </c>
      <c r="M45" s="812"/>
      <c r="N45" s="812"/>
      <c r="O45" s="220" t="str">
        <f t="shared" si="1"/>
        <v/>
      </c>
      <c r="P45" s="340" t="str">
        <f>IF(OR(AND($G$29="Yes",$H$34&gt;=7,'2022 Annual Report'!$D$432&lt;&gt;"",OR($C45="",$F45="",$I45="",$J45=""))),1,"")</f>
        <v/>
      </c>
    </row>
    <row r="46" spans="1:30" ht="20.100000000000001" customHeight="1" x14ac:dyDescent="0.25">
      <c r="A46" s="205"/>
      <c r="C46" s="828"/>
      <c r="D46" s="828"/>
      <c r="E46" s="828"/>
      <c r="F46" s="829"/>
      <c r="G46" s="829"/>
      <c r="H46" s="227" t="str">
        <f t="shared" si="0"/>
        <v/>
      </c>
      <c r="I46" s="414"/>
      <c r="J46" s="813"/>
      <c r="K46" s="813"/>
      <c r="L46" s="812" t="str">
        <f>IF(AND($G$29="Yes",$H$34&gt;=8,$J46=""), " &lt;=== Select from drop down list","")</f>
        <v/>
      </c>
      <c r="M46" s="812"/>
      <c r="N46" s="812"/>
      <c r="O46" s="220" t="str">
        <f t="shared" si="1"/>
        <v/>
      </c>
      <c r="P46" s="340" t="str">
        <f>IF(OR(AND($G$29="Yes",$H$34&gt;=8,'2022 Annual Report'!$D$432&lt;&gt;"",OR($C46="",$F46="",$I46="",$J46=""))),1,"")</f>
        <v/>
      </c>
    </row>
    <row r="47" spans="1:30" ht="20.100000000000001" customHeight="1" x14ac:dyDescent="0.25">
      <c r="A47" s="205"/>
      <c r="C47" s="828"/>
      <c r="D47" s="828"/>
      <c r="E47" s="828"/>
      <c r="F47" s="829"/>
      <c r="G47" s="829"/>
      <c r="H47" s="227" t="str">
        <f t="shared" si="0"/>
        <v/>
      </c>
      <c r="I47" s="414"/>
      <c r="J47" s="813"/>
      <c r="K47" s="813"/>
      <c r="L47" s="812" t="str">
        <f>IF(AND($G$29="Yes",$H$34&gt;=9,$J47=""), " &lt;=== Select from drop down list","")</f>
        <v/>
      </c>
      <c r="M47" s="812"/>
      <c r="N47" s="812"/>
      <c r="O47" s="220" t="str">
        <f t="shared" si="1"/>
        <v/>
      </c>
      <c r="P47" s="340" t="str">
        <f>IF(OR(AND($G$29="Yes",$H$34&gt;=9,'2022 Annual Report'!$D$432&lt;&gt;"",OR($C47="",$F47="",$I47="",$J47=""))),1,"")</f>
        <v/>
      </c>
    </row>
    <row r="48" spans="1:30" ht="20.100000000000001" customHeight="1" x14ac:dyDescent="0.25">
      <c r="A48" s="205"/>
      <c r="C48" s="828"/>
      <c r="D48" s="828"/>
      <c r="E48" s="828"/>
      <c r="F48" s="829"/>
      <c r="G48" s="829"/>
      <c r="H48" s="227" t="str">
        <f t="shared" si="0"/>
        <v/>
      </c>
      <c r="I48" s="414"/>
      <c r="J48" s="813"/>
      <c r="K48" s="813"/>
      <c r="L48" s="812" t="str">
        <f>IF(AND($G$29="Yes",$H$34&gt;=10,$J48=""), " &lt;=== Select from drop down list","")</f>
        <v/>
      </c>
      <c r="M48" s="812"/>
      <c r="N48" s="812"/>
      <c r="O48" s="220" t="str">
        <f t="shared" si="1"/>
        <v/>
      </c>
      <c r="P48" s="340" t="str">
        <f>IF(OR(AND($G$29="Yes",$H$34&gt;=10,'2022 Annual Report'!$D$432&lt;&gt;"",OR($C48="",$F48="",$I48="",$J48=""))),1,"")</f>
        <v/>
      </c>
    </row>
    <row r="49" spans="1:69" ht="20.100000000000001" customHeight="1" x14ac:dyDescent="0.25">
      <c r="A49" s="205"/>
      <c r="C49" s="828"/>
      <c r="D49" s="828"/>
      <c r="E49" s="828"/>
      <c r="F49" s="829"/>
      <c r="G49" s="829"/>
      <c r="H49" s="227" t="str">
        <f t="shared" si="0"/>
        <v/>
      </c>
      <c r="I49" s="414"/>
      <c r="J49" s="813"/>
      <c r="K49" s="813"/>
      <c r="L49" s="812" t="str">
        <f>IF(AND($G$29="Yes",$H$34&gt;=11,$J49=""), " &lt;=== Select from drop down list","")</f>
        <v/>
      </c>
      <c r="M49" s="812"/>
      <c r="N49" s="812"/>
      <c r="O49" s="220" t="str">
        <f t="shared" si="1"/>
        <v/>
      </c>
      <c r="P49" s="340" t="str">
        <f>IF(OR(AND($G$29="Yes",$H$34&gt;=11,'2022 Annual Report'!$D$432&lt;&gt;"",OR($C49="",$F49="",$I49="",$J49=""))),1,"")</f>
        <v/>
      </c>
    </row>
    <row r="50" spans="1:69" ht="20.100000000000001" customHeight="1" x14ac:dyDescent="0.25">
      <c r="A50" s="205"/>
      <c r="C50" s="828"/>
      <c r="D50" s="828"/>
      <c r="E50" s="828"/>
      <c r="F50" s="829"/>
      <c r="G50" s="829"/>
      <c r="H50" s="227" t="str">
        <f t="shared" si="0"/>
        <v/>
      </c>
      <c r="I50" s="414"/>
      <c r="J50" s="813"/>
      <c r="K50" s="813"/>
      <c r="L50" s="812" t="str">
        <f>IF(AND($G$29="Yes",$H$34&gt;=12,$J50=""), " &lt;=== Select from drop down list","")</f>
        <v/>
      </c>
      <c r="M50" s="812"/>
      <c r="N50" s="812"/>
      <c r="O50" s="220" t="str">
        <f t="shared" si="1"/>
        <v/>
      </c>
      <c r="P50" s="340" t="str">
        <f>IF(OR(AND($G$29="Yes",$H$34&gt;=12,'2022 Annual Report'!$D$432&lt;&gt;"",OR($C50="",$F50="",$I50="",$J50=""))),1,"")</f>
        <v/>
      </c>
    </row>
    <row r="51" spans="1:69" ht="20.100000000000001" customHeight="1" x14ac:dyDescent="0.25">
      <c r="A51" s="205"/>
      <c r="C51" s="828"/>
      <c r="D51" s="828"/>
      <c r="E51" s="828"/>
      <c r="F51" s="829"/>
      <c r="G51" s="829"/>
      <c r="H51" s="227" t="str">
        <f t="shared" si="0"/>
        <v/>
      </c>
      <c r="I51" s="414"/>
      <c r="J51" s="813"/>
      <c r="K51" s="813"/>
      <c r="L51" s="812" t="str">
        <f>IF(AND($G$29="Yes",$H$34&gt;=13,$J51=""), " &lt;=== Select from drop down list","")</f>
        <v/>
      </c>
      <c r="M51" s="812"/>
      <c r="N51" s="812"/>
      <c r="O51" s="220" t="str">
        <f t="shared" si="1"/>
        <v/>
      </c>
      <c r="P51" s="340" t="str">
        <f>IF(OR(AND($G$29="Yes",$H$34&gt;=13,'2022 Annual Report'!$D$432&lt;&gt;"",OR($C51="",$F51="",$I51="",$J51=""))),1,"")</f>
        <v/>
      </c>
    </row>
    <row r="52" spans="1:69" ht="20.100000000000001" customHeight="1" x14ac:dyDescent="0.25">
      <c r="A52" s="205"/>
      <c r="C52" s="828"/>
      <c r="D52" s="828"/>
      <c r="E52" s="828"/>
      <c r="F52" s="829"/>
      <c r="G52" s="829"/>
      <c r="H52" s="227" t="str">
        <f t="shared" si="0"/>
        <v/>
      </c>
      <c r="I52" s="414"/>
      <c r="J52" s="813"/>
      <c r="K52" s="813"/>
      <c r="L52" s="812" t="str">
        <f>IF(AND($G$29="Yes",$H$34&gt;=14,$J52=""), " &lt;=== Select from drop down list","")</f>
        <v/>
      </c>
      <c r="M52" s="812"/>
      <c r="N52" s="812"/>
      <c r="O52" s="220" t="str">
        <f t="shared" si="1"/>
        <v/>
      </c>
      <c r="P52" s="340" t="str">
        <f>IF(OR(AND($G$29="Yes",$H$34&gt;=14,'2022 Annual Report'!$D$432&lt;&gt;"",OR($C52="",$F52="",$I52="",$J52=""))),1,"")</f>
        <v/>
      </c>
    </row>
    <row r="53" spans="1:69" ht="20.100000000000001" customHeight="1" x14ac:dyDescent="0.25">
      <c r="A53" s="205"/>
      <c r="C53" s="828"/>
      <c r="D53" s="828"/>
      <c r="E53" s="828"/>
      <c r="F53" s="829"/>
      <c r="G53" s="829"/>
      <c r="H53" s="227" t="str">
        <f t="shared" si="0"/>
        <v/>
      </c>
      <c r="I53" s="414"/>
      <c r="J53" s="813"/>
      <c r="K53" s="813"/>
      <c r="L53" s="812" t="str">
        <f>IF(AND($G$29="Yes",$H$34&gt;=15,$J53=""), " &lt;=== Select from drop down list","")</f>
        <v/>
      </c>
      <c r="M53" s="812"/>
      <c r="N53" s="812"/>
      <c r="O53" s="220" t="str">
        <f t="shared" si="1"/>
        <v/>
      </c>
      <c r="P53" s="340" t="str">
        <f>IF(OR(AND($G$29="Yes",$H$34&gt;=15,'2022 Annual Report'!$D$432&lt;&gt;"",OR($C53="",$F53="",$I53="",$J53=""))),1,"")</f>
        <v/>
      </c>
    </row>
    <row r="54" spans="1:69" x14ac:dyDescent="0.25">
      <c r="A54" s="205"/>
    </row>
    <row r="57" spans="1:69" ht="32.25" customHeight="1" x14ac:dyDescent="0.25">
      <c r="B57" s="861" t="str">
        <f>IF(AND(G27="Yes",G29="No"),"                      STOP! Tab Complete.  Return to the main tab (i.e., "&amp;D4&amp;" Annual Report)",IF(OR(AND(G27="No",G29="No"),AND(G27="No",G29=""),G29="Please Select"),"    STOP! Do not place any data in the tables below.  Return to the main tab (i.e., "&amp;D4&amp;" Report Tab)","Satellite(s) Outcomes Summary"))</f>
        <v>Satellite(s) Outcomes Summary</v>
      </c>
      <c r="C57" s="861"/>
      <c r="D57" s="861"/>
      <c r="E57" s="861"/>
      <c r="F57" s="861"/>
      <c r="G57" s="861"/>
      <c r="H57" s="861"/>
      <c r="I57" s="861"/>
      <c r="J57" s="861"/>
      <c r="K57" s="861"/>
      <c r="L57" s="861"/>
      <c r="M57" s="861"/>
      <c r="N57" s="861"/>
    </row>
    <row r="58" spans="1:69" ht="15" customHeight="1" x14ac:dyDescent="0.25">
      <c r="B58" s="19"/>
      <c r="C58" s="20">
        <f>$D$17</f>
        <v>0</v>
      </c>
      <c r="D58" s="618">
        <f>$D$19</f>
        <v>0</v>
      </c>
      <c r="E58" s="618"/>
      <c r="F58" s="618"/>
      <c r="G58" s="618"/>
      <c r="H58" s="618"/>
      <c r="I58" s="618"/>
      <c r="J58" s="618"/>
      <c r="K58" s="618"/>
      <c r="P58" s="669" t="str">
        <f>IF(P62&lt;&gt;"",$D$17,"")</f>
        <v/>
      </c>
      <c r="Q58" s="669"/>
      <c r="R58" s="643" t="str">
        <f>IF(P62&lt;&gt;"",$D$19,"")</f>
        <v/>
      </c>
      <c r="S58" s="643"/>
      <c r="T58" s="643"/>
      <c r="U58" s="643"/>
      <c r="V58" s="643"/>
      <c r="W58" s="643"/>
      <c r="X58" s="643"/>
      <c r="Y58" s="643"/>
      <c r="Z58" s="643"/>
      <c r="AA58" s="643"/>
      <c r="AI58" s="669" t="str">
        <f>IF(P62&lt;&gt;"",$D$17,"")</f>
        <v/>
      </c>
      <c r="AJ58" s="669"/>
      <c r="AK58" s="643" t="str">
        <f>IF(P62&lt;&gt;"",$D$19,"")</f>
        <v/>
      </c>
      <c r="AL58" s="643"/>
      <c r="AM58" s="643"/>
      <c r="AN58" s="643"/>
      <c r="AO58" s="643"/>
      <c r="AP58" s="643"/>
      <c r="AQ58" s="643"/>
      <c r="AR58" s="643"/>
      <c r="AS58" s="643"/>
      <c r="AT58" s="643"/>
      <c r="BB58" s="669"/>
      <c r="BC58" s="669"/>
      <c r="BD58" s="691"/>
      <c r="BE58" s="691"/>
      <c r="BF58" s="691"/>
      <c r="BG58" s="691"/>
      <c r="BH58" s="691"/>
      <c r="BI58" s="691"/>
      <c r="BJ58" s="691"/>
      <c r="BK58" s="691"/>
      <c r="BL58" s="826"/>
      <c r="BM58" s="826"/>
      <c r="BN58" s="826"/>
      <c r="BO58" s="826"/>
      <c r="BP58" s="826"/>
    </row>
    <row r="59" spans="1:69" ht="8.25" customHeight="1" x14ac:dyDescent="0.25">
      <c r="E59" s="159"/>
      <c r="J59" s="827"/>
      <c r="K59" s="827"/>
      <c r="L59" s="827"/>
      <c r="M59" s="827"/>
      <c r="N59" s="827"/>
      <c r="R59" s="643" t="str">
        <f>IF(P62&lt;&gt;"","Retention/Attrition","")</f>
        <v/>
      </c>
      <c r="S59" s="643"/>
      <c r="T59" s="643"/>
      <c r="U59" s="643"/>
      <c r="V59" s="643"/>
      <c r="W59" s="643"/>
      <c r="AK59" s="643" t="str">
        <f>IF(P62&lt;&gt;"","Retention/Attrition","")</f>
        <v/>
      </c>
      <c r="AL59" s="643"/>
      <c r="AM59" s="643"/>
      <c r="AN59" s="643"/>
      <c r="AO59" s="643"/>
      <c r="BD59" s="643"/>
      <c r="BE59" s="643"/>
      <c r="BF59" s="643"/>
      <c r="BG59" s="643"/>
      <c r="BH59" s="643"/>
      <c r="BL59" s="826"/>
      <c r="BM59" s="826"/>
      <c r="BN59" s="826"/>
      <c r="BO59" s="826"/>
      <c r="BP59" s="826"/>
    </row>
    <row r="60" spans="1:69" ht="9" customHeight="1" x14ac:dyDescent="0.25"/>
    <row r="61" spans="1:69" s="297" customFormat="1" ht="23.25" customHeight="1" x14ac:dyDescent="0.25">
      <c r="A61" s="204"/>
      <c r="B61" s="39" t="s">
        <v>87</v>
      </c>
      <c r="C61" s="31"/>
      <c r="D61" s="31"/>
      <c r="E61" s="31"/>
      <c r="F61" s="31"/>
      <c r="G61" s="31"/>
      <c r="H61" s="31"/>
      <c r="I61" s="31"/>
      <c r="J61" s="31"/>
      <c r="K61" s="31"/>
      <c r="L61" s="31"/>
      <c r="M61" s="31"/>
      <c r="N61" s="32"/>
      <c r="P61" s="364"/>
    </row>
    <row r="62" spans="1:69" ht="127.5" customHeight="1" x14ac:dyDescent="0.25">
      <c r="A62" s="205"/>
      <c r="B62" s="778" t="str">
        <f>"The Retention outcome threshold set by the CoAEMSP is 70% and based on the Retention/Attrition formula.  All programs must calculate retention based upon the number of students enrolled after completing 10% of the program’s advertised TOTAL clock hours " &amp;"(e.g., 10% of 1,200 total clock hours = 120 hours; students completing more than 120 hours will be considered enrolled " &amp;"and will be counted in the calculation of the Retention outcome).  This includes all CORE Paramedic coursework (not inclusive of prerequisites such as English, anatomy and physiology, EMT, etc.).  " &amp;"Core Paramedic coursework encompasses all phases of the program including didactic, lab, clinical, field experience, and capstone field internship.
Retention" &amp;" will be computed using the total number of students that completed in the most recent reporting year ("&amp;D4&amp;") and is calculated by determining Attrition (the number of students who dropped out divided by the number enrolled after 10% of total clock hours)." &amp;"  Once the Attrition percentage has been determined, then the Retention percentage is 100% minus the Attrition percentage." &amp; "  "</f>
        <v xml:space="preserve">The Retention outcome threshold set by the CoAEMSP is 70% and based on the Retention/Attrition formula.  All programs must calculate retention based upon the number of students enrolled after completing 10% of the program’s advertised TOTAL clock hours (e.g., 10% of 1,200 total clock hours = 120 hours; students completing more than 120 hours will be considered enrolled and will be counted in the calculation of the Retention outcome).  This includes all CORE Paramedic coursework (not inclusive of prerequisites such as English, anatomy and physiology, EMT, etc.).  Core Paramedic coursework encompasses all phases of the program including didactic, lab, clinical, field experience, and capstone field internship.
Retention will be computed using the total number of students that completed in the most recent reporting year (2022) and is calculated by determining Attrition (the number of students who dropped out divided by the number enrolled after 10% of total clock hours).  Once the Attrition percentage has been determined, then the Retention percentage is 100% minus the Attrition percentage.  </v>
      </c>
      <c r="C62" s="779"/>
      <c r="D62" s="779"/>
      <c r="E62" s="779"/>
      <c r="F62" s="779"/>
      <c r="G62" s="779"/>
      <c r="H62" s="779"/>
      <c r="I62" s="779"/>
      <c r="J62" s="779"/>
      <c r="K62" s="779"/>
      <c r="L62" s="779"/>
      <c r="M62" s="779"/>
      <c r="N62" s="780"/>
      <c r="P62" s="403"/>
      <c r="Q62" s="832"/>
      <c r="R62" s="832"/>
      <c r="S62" s="832"/>
      <c r="T62" s="832"/>
      <c r="U62" s="832"/>
      <c r="V62" s="832"/>
      <c r="W62" s="832"/>
      <c r="Y62" s="306"/>
      <c r="Z62" s="656"/>
      <c r="AA62" s="656"/>
      <c r="AB62" s="656"/>
      <c r="AC62" s="656"/>
      <c r="AD62" s="656"/>
      <c r="AE62" s="656"/>
      <c r="AF62" s="656"/>
      <c r="AH62" s="306"/>
      <c r="AI62" s="656"/>
      <c r="AJ62" s="656"/>
      <c r="AK62" s="656"/>
      <c r="AL62" s="656"/>
      <c r="AM62" s="656"/>
      <c r="AN62" s="656"/>
      <c r="AO62" s="656"/>
      <c r="AQ62" s="306"/>
      <c r="AR62" s="656"/>
      <c r="AS62" s="656"/>
      <c r="AT62" s="656"/>
      <c r="AU62" s="656"/>
      <c r="AV62" s="656"/>
      <c r="AW62" s="656"/>
      <c r="AX62" s="656"/>
      <c r="AZ62" s="306"/>
      <c r="BA62" s="656"/>
      <c r="BB62" s="656"/>
      <c r="BC62" s="656"/>
      <c r="BD62" s="656"/>
      <c r="BE62" s="656"/>
      <c r="BF62" s="656"/>
      <c r="BG62" s="656"/>
      <c r="BI62" s="306"/>
      <c r="BJ62" s="656"/>
      <c r="BK62" s="656"/>
      <c r="BL62" s="656"/>
      <c r="BM62" s="656"/>
      <c r="BN62" s="656"/>
      <c r="BO62" s="656"/>
      <c r="BP62" s="656"/>
    </row>
    <row r="63" spans="1:69" ht="44.25" customHeight="1" x14ac:dyDescent="0.25">
      <c r="A63" s="205"/>
      <c r="B63" s="789" t="s">
        <v>98</v>
      </c>
      <c r="C63" s="790"/>
      <c r="D63" s="791"/>
      <c r="E63" s="24" t="str">
        <f>IF(AND($H$34&gt;=1,OR($J$39="Satellite # 1",$J$40="Satellite # 1",$J$41="Satellite # 1",$J$42="Satellite # 1",$J$43="Satellite # 1",$J$44="Satellite # 1",$J$45="Satellite # 1",$J$46="Satellite # 1",$J$47="Satellite # 1",$J$48="Satellite # 1",$J$49="Satellite # 1",$J$50="Satellite # 1",$J$51="Satellite # 1",$J$52="Satellite # 1",$J$53="Satellite # 1")),"Satellite 
# 1:","")</f>
        <v/>
      </c>
      <c r="F63" s="24" t="str">
        <f>IF(AND($H$34&gt;=1,OR($J$39="Satellite # 2",$J$40="Satellite # 2",$J$41="Satellite # 2",$J$42="Satellite # 2",$J$43="Satellite # 2",$J$44="Satellite # 2",$J$45="Satellite # 2",$J$46="Satellite # 2",$J$47="Satellite # 2",$J$48="Satellite # 2",$J$49="Satellite # 2",$J$50="Satellite # 2",$J$51="Satellite # 2",$J$52="Satellite # 2",$J$53="Satellite # 2")),"Satellite 
# 2:","")</f>
        <v/>
      </c>
      <c r="G63" s="24" t="str">
        <f>IF(AND($H$34&gt;=1,OR($J$39="Satellite # 3",$J$40="Satellite # 3",$J$41="Satellite # 3",$J$42="Satellite # 3",$J$43="Satellite # 3",$J$44="Satellite # 3",$J$45="Satellite # 3",$J$46="Satellite # 3",$J$47="Satellite # 3",$J$48="Satellite # 3",$J$49="Satellite # 3",$J$50="Satellite # 3",$J$51="Satellite # 3",$J$52="Satellite # 3",$J$53="Satellite # 3")),"Satellite 
# 3:","")</f>
        <v/>
      </c>
      <c r="H63" s="24" t="str">
        <f>IF(AND($H$34&gt;=1,OR($J$39="Satellite # 4",$J$40="Satellite # 4",$J$41="Satellite # 4",$J$42="Satellite # 4",$J$43="Satellite # 4",$J$44="Satellite # 4",$J$45="Satellite # 4",$J$46="Satellite # 4",$J$47="Satellite # 4",$J$48="Satellite # 4",$J$49="Satellite # 4",$J$50="Satellite # 4",$J$51="Satellite # 4",$J$52="Satellite # 4",$J$53="Satellite # 4")),"Satellite 
# 4:","")</f>
        <v/>
      </c>
      <c r="I63" s="24" t="str">
        <f>IF(AND($H$34&gt;=1,OR($J$39="Satellite # 5",$J$40="Satellite # 5",$J$41="Satellite # 5",$J$42="Satellite # 5",$J$43="Satellite # 5",$J$44="Satellite # 5",$J$45="Satellite # 5",$J$46="Satellite # 5",$J$47="Satellite # 5",$J$48="Satellite # 5",$J$49="Satellite # 5",$J$50="Satellite # 5",$J$51="Satellite # 5",$J$52="Satellite # 5",$J$53="Satellite # 5")),"Satellite 
# 5:","")</f>
        <v/>
      </c>
      <c r="J63" s="24" t="str">
        <f>IF(AND($H$34&gt;=1,OR($J$39="Satellite # 6",$J$40="Satellite # 6",$J$41="Satellite # 6",$J$42="Satellite # 6",$J$43="Satellite # 6",$J$44="Satellite # 6",$J$45="Satellite # 6",$J$46="Satellite # 6",$J$47="Satellite # 6",$J$48="Satellite # 6",$J$49="Satellite # 6",$J$50="Satellite # 6",$J$51="Satellite # 6",$J$52="Satellite # 6",$J$53="Satellite # 6")),"Satellite 
# 6:","")</f>
        <v/>
      </c>
      <c r="K63" s="24" t="str">
        <f>IF(AND($H$34&gt;=1,OR($J$39="Satellite # 7",$J$40="Satellite # 7",$J$41="Satellite # 7",$J$42="Satellite # 7",$J$43="Satellite # 7",$J$44="Satellite # 7",$J$45="Satellite # 7",$J$46="Satellite # 7",$J$47="Satellite # 7",$J$48="Satellite # 7",$J$49="Satellite # 7",$J$50="Satellite # 7",$J$51="Satellite # 7",$J$52="Satellite # 7",$J$53="Satellite # 7")),"Satellite 
# 7:","")</f>
        <v/>
      </c>
      <c r="L63" s="24" t="str">
        <f>IF(AND($H$34&gt;=1,OR($J$39="Satellite # 8",$J$40="Satellite # 8",$J$41="Satellite # 8",$J$42="Satellite # 8",$J$43="Satellite # 8",$J$44="Satellite # 8",$J$45="Satellite # 8",$J$46="Satellite # 8",$J$47="Satellite # 8",$J$48="Satellite # 8",$J$49="Satellite # 8",$J$50="Satellite # 8",$J$51="Satellite # 8",$J$52="Satellite # 8",$J$53="Satellite # 8")),"Satellite 
# 8:","")</f>
        <v/>
      </c>
      <c r="M63" s="24" t="str">
        <f>IF(AND($H$34&gt;=1,OR($J$39="Satellite # 9",$J$40="Satellite # 9",$J$41="Satellite # 9",$J$42="Satellite # 9",$J$43="Satellite # 9",$J$44="Satellite # 9",$J$45="Satellite # 9",$J$46="Satellite # 9",$J$47="Satellite # 9",$J$48="Satellite # 9",$J$49="Satellite # 9",$J$50="Satellite # 9",$J$51="Satellite # 9",$J$52="Satellite # 9",$J$53="Satellite # 9")),"Satellite 
# 9:","")</f>
        <v/>
      </c>
      <c r="N63" s="24" t="s">
        <v>12</v>
      </c>
      <c r="O63" s="339" t="str">
        <f>IF(P63=1, "&lt;===", "")</f>
        <v/>
      </c>
      <c r="P63" s="225" t="str">
        <f>IF(OR(AND(E63="",E78&lt;&gt;""),AND(F63="",F78&lt;&gt;""),AND(G63="",G78&lt;&gt;""),AND(H63="",H78&lt;&gt;""),AND(I63="",I78&lt;&gt;""),AND(J63="",J78&lt;&gt;""),AND(K63="",K78&lt;&gt;""),AND(L63="",L78&lt;&gt;""),AND(M63="",M78&lt;&gt;"")),1,"")</f>
        <v/>
      </c>
      <c r="Q63" s="830"/>
      <c r="R63" s="830"/>
      <c r="S63" s="830"/>
      <c r="T63" s="830"/>
      <c r="U63" s="297"/>
      <c r="V63" s="297"/>
      <c r="W63" s="298"/>
      <c r="X63" s="253"/>
      <c r="Z63" s="831"/>
      <c r="AA63" s="831"/>
      <c r="AF63" s="298"/>
      <c r="AG63" s="295"/>
      <c r="AI63" s="831"/>
      <c r="AJ63" s="831"/>
      <c r="AO63" s="298"/>
      <c r="AP63" s="295"/>
      <c r="AR63" s="831"/>
      <c r="AS63" s="831"/>
      <c r="AX63" s="3"/>
      <c r="AY63" s="295" t="str">
        <f>IF(AX63=1,"&lt;===", "")</f>
        <v/>
      </c>
      <c r="BA63" s="831"/>
      <c r="BB63" s="831"/>
      <c r="BG63" s="298"/>
      <c r="BH63" s="295"/>
      <c r="BJ63" s="833"/>
      <c r="BK63" s="833"/>
      <c r="BL63" s="833"/>
      <c r="BM63" s="833"/>
      <c r="BN63" s="833"/>
      <c r="BO63" s="833"/>
      <c r="BP63" s="833"/>
      <c r="BQ63" s="295" t="e">
        <f>IF(BQ64=1,"&lt;===", "")</f>
        <v>#REF!</v>
      </c>
    </row>
    <row r="64" spans="1:69" ht="18" customHeight="1" x14ac:dyDescent="0.25">
      <c r="A64" s="205"/>
      <c r="B64" s="63" t="s">
        <v>14</v>
      </c>
      <c r="C64" s="125"/>
      <c r="D64" s="207" t="s">
        <v>59</v>
      </c>
      <c r="E64" s="399"/>
      <c r="F64" s="399"/>
      <c r="G64" s="399"/>
      <c r="H64" s="399"/>
      <c r="I64" s="399"/>
      <c r="J64" s="399"/>
      <c r="K64" s="399"/>
      <c r="L64" s="399"/>
      <c r="M64" s="399"/>
      <c r="N64" s="65"/>
      <c r="O64" s="339" t="str">
        <f>IF(P64=1, "&lt;===", "")</f>
        <v/>
      </c>
      <c r="P64" s="364" t="str">
        <f>IF(OR(AND(E64="",E78&lt;&gt;""),AND(F64="",F78&lt;&gt;""),AND(G64="",G78&lt;&gt;""),AND(H64="",H78&lt;&gt;""),AND(I64="",I78&lt;&gt;""),AND(J64="",J78&lt;&gt;""),AND(K64="",K78&lt;&gt;""),AND(L64="",L78&lt;&gt;""),AND(M64="",M78&lt;&gt;"")),1,"")</f>
        <v/>
      </c>
      <c r="BJ64" s="833"/>
      <c r="BK64" s="833"/>
      <c r="BL64" s="833"/>
      <c r="BM64" s="833"/>
      <c r="BN64" s="833"/>
      <c r="BO64" s="833"/>
      <c r="BP64" s="833"/>
      <c r="BQ64" s="3" t="e">
        <f>IF(AND(P62&lt;&gt;"",AI63&lt;&gt;"Please Select",BJ63="",#REF!&lt;&gt;""),1, "")</f>
        <v>#REF!</v>
      </c>
    </row>
    <row r="65" spans="1:69" ht="18" customHeight="1" x14ac:dyDescent="0.25">
      <c r="A65" s="205"/>
      <c r="B65" s="768" t="s">
        <v>11</v>
      </c>
      <c r="C65" s="769"/>
      <c r="D65" s="208" t="s">
        <v>59</v>
      </c>
      <c r="E65" s="400"/>
      <c r="F65" s="400"/>
      <c r="G65" s="400"/>
      <c r="H65" s="400"/>
      <c r="I65" s="400"/>
      <c r="J65" s="400"/>
      <c r="K65" s="400"/>
      <c r="L65" s="400"/>
      <c r="M65" s="400"/>
      <c r="N65" s="67"/>
      <c r="O65" s="339" t="str">
        <f>IF(P65=1, "&lt;===", "")</f>
        <v/>
      </c>
      <c r="P65" s="364" t="str">
        <f>IF(OR(AND(E65="",E78&lt;&gt;""),AND(F65="",F78&lt;&gt;""),AND(G65="",G78&lt;&gt;""),AND(H65="",H78&lt;&gt;""),AND(I65="",I78&lt;&gt;""),AND(J65="",J78&lt;&gt;""),AND(K65="",K78&lt;&gt;""),AND(L65="",L78&lt;&gt;""),AND(M65="",M78&lt;&gt;"")),1,"")</f>
        <v/>
      </c>
      <c r="AK65" s="4"/>
      <c r="AR65" s="5"/>
      <c r="AS65" s="5"/>
      <c r="AT65" s="5"/>
      <c r="AU65" s="5"/>
      <c r="AV65" s="5"/>
      <c r="AW65" s="5"/>
      <c r="AX65" s="5"/>
      <c r="BJ65" s="833"/>
      <c r="BK65" s="833"/>
      <c r="BL65" s="833"/>
      <c r="BM65" s="833"/>
      <c r="BN65" s="833"/>
      <c r="BO65" s="833"/>
      <c r="BP65" s="833"/>
    </row>
    <row r="66" spans="1:69" ht="18" customHeight="1" x14ac:dyDescent="0.25">
      <c r="A66" s="205"/>
      <c r="B66" s="230" t="s">
        <v>21</v>
      </c>
      <c r="C66" s="128"/>
      <c r="D66" s="128"/>
      <c r="E66" s="401"/>
      <c r="F66" s="402"/>
      <c r="G66" s="402"/>
      <c r="H66" s="402"/>
      <c r="I66" s="402"/>
      <c r="J66" s="402"/>
      <c r="K66" s="402"/>
      <c r="L66" s="402"/>
      <c r="M66" s="402"/>
      <c r="N66" s="127" t="str">
        <f>IF(SUM(E66:M66)=0,"",SUM(E66:M66))</f>
        <v/>
      </c>
      <c r="P66" s="225"/>
      <c r="Q66" s="656"/>
      <c r="R66" s="656"/>
      <c r="S66" s="656"/>
      <c r="T66" s="656"/>
      <c r="U66" s="656"/>
      <c r="V66" s="656"/>
      <c r="W66" s="656"/>
      <c r="Y66" s="312"/>
      <c r="Z66" s="818"/>
      <c r="AA66" s="818"/>
      <c r="AB66" s="818"/>
      <c r="AC66" s="818"/>
      <c r="AD66" s="818"/>
      <c r="AE66" s="818"/>
      <c r="AF66" s="818"/>
      <c r="AH66" s="306"/>
      <c r="AI66" s="818"/>
      <c r="AJ66" s="818"/>
      <c r="AK66" s="818"/>
      <c r="AL66" s="818"/>
      <c r="AM66" s="818"/>
      <c r="AN66" s="818"/>
      <c r="AO66" s="818"/>
      <c r="AQ66" s="306"/>
      <c r="AR66" s="818"/>
      <c r="AS66" s="818"/>
      <c r="AT66" s="818"/>
      <c r="AU66" s="818"/>
      <c r="AV66" s="818"/>
      <c r="AW66" s="818"/>
      <c r="AX66" s="818"/>
      <c r="AZ66" s="306"/>
      <c r="BA66" s="796"/>
      <c r="BB66" s="796"/>
      <c r="BC66" s="796"/>
      <c r="BD66" s="796"/>
      <c r="BE66" s="796"/>
      <c r="BF66" s="796"/>
      <c r="BG66" s="796"/>
      <c r="BJ66" s="833"/>
      <c r="BK66" s="833"/>
      <c r="BL66" s="833"/>
      <c r="BM66" s="833"/>
      <c r="BN66" s="833"/>
      <c r="BO66" s="833"/>
      <c r="BP66" s="833"/>
    </row>
    <row r="67" spans="1:69" ht="44.25" customHeight="1" x14ac:dyDescent="0.25">
      <c r="A67" s="205"/>
      <c r="B67" s="805" t="s">
        <v>96</v>
      </c>
      <c r="C67" s="806"/>
      <c r="D67" s="806"/>
      <c r="E67" s="806"/>
      <c r="F67" s="806"/>
      <c r="G67" s="806"/>
      <c r="H67" s="806"/>
      <c r="I67" s="806"/>
      <c r="J67" s="806"/>
      <c r="K67" s="806"/>
      <c r="L67" s="806"/>
      <c r="M67" s="806"/>
      <c r="N67" s="314"/>
      <c r="P67" s="223"/>
      <c r="Q67" s="831"/>
      <c r="R67" s="831"/>
      <c r="S67" s="300"/>
      <c r="T67" s="300"/>
      <c r="U67" s="300"/>
      <c r="V67" s="300"/>
      <c r="W67" s="262"/>
      <c r="X67" s="295"/>
      <c r="Z67" s="818"/>
      <c r="AA67" s="818"/>
      <c r="AB67" s="818"/>
      <c r="AC67" s="818"/>
      <c r="AD67" s="818"/>
      <c r="AE67" s="818"/>
      <c r="AF67" s="818"/>
      <c r="AI67" s="818"/>
      <c r="AJ67" s="818"/>
      <c r="AK67" s="818"/>
      <c r="AL67" s="818"/>
      <c r="AM67" s="818"/>
      <c r="AN67" s="818"/>
      <c r="AO67" s="818"/>
      <c r="AR67" s="818"/>
      <c r="AS67" s="818"/>
      <c r="AT67" s="818"/>
      <c r="AU67" s="818"/>
      <c r="AV67" s="818"/>
      <c r="AW67" s="818"/>
      <c r="AX67" s="818"/>
      <c r="BA67" s="831"/>
      <c r="BB67" s="831"/>
      <c r="BG67" s="298"/>
      <c r="BH67" s="295"/>
      <c r="BJ67" s="833"/>
      <c r="BK67" s="833"/>
      <c r="BL67" s="833"/>
      <c r="BM67" s="833"/>
      <c r="BN67" s="833"/>
      <c r="BO67" s="833"/>
      <c r="BP67" s="833"/>
    </row>
    <row r="68" spans="1:69" ht="18" customHeight="1" x14ac:dyDescent="0.25">
      <c r="A68" s="205"/>
      <c r="B68" s="64"/>
      <c r="C68" s="160" t="s">
        <v>24</v>
      </c>
      <c r="D68" s="125"/>
      <c r="E68" s="163"/>
      <c r="F68" s="164"/>
      <c r="G68" s="164"/>
      <c r="H68" s="164"/>
      <c r="I68" s="164"/>
      <c r="J68" s="164"/>
      <c r="K68" s="164"/>
      <c r="L68" s="164"/>
      <c r="M68" s="164"/>
      <c r="N68" s="177" t="str">
        <f>IF(COUNT(E68:M68),SUM(E68:M68),"")</f>
        <v/>
      </c>
      <c r="O68" s="221" t="str">
        <f>IF(P68=1, "&lt;===", "")</f>
        <v/>
      </c>
      <c r="P68" s="223" t="str">
        <f>IF(OR(AND($E$66&lt;&gt;"",$E68="",'2022 Annual Report'!$D$432&lt;&gt;""),AND('2022 Satellite(s)'!$F$66&lt;&gt;"",'2022 Satellite(s)'!$F68="",'2022 Annual Report'!$D$432&lt;&gt;""),AND('2022 Satellite(s)'!$G$66&lt;&gt;"",'2022 Satellite(s)'!$G68="",'2022 Annual Report'!$D$432&lt;&gt;""),AND('2022 Satellite(s)'!$H$66&lt;&gt;"",'2022 Satellite(s)'!$H68="",'2022 Annual Report'!$D$432&lt;&gt;""),AND('2022 Satellite(s)'!$I$66&lt;&gt;"",'2022 Satellite(s)'!$I68="",'2022 Annual Report'!$D$432&lt;&gt;""),AND('2022 Satellite(s)'!$J$66&lt;&gt;"",'2022 Satellite(s)'!$J68="",'2022 Annual Report'!$D$432&lt;&gt;""),AND('2022 Satellite(s)'!$K$66&lt;&gt;"",'2022 Satellite(s)'!$K68="",'2022 Annual Report'!$D$432&lt;&gt;""),AND('2022 Satellite(s)'!$L$66&lt;&gt;"",'2022 Satellite(s)'!$L68="",'2022 Annual Report'!$D$432&lt;&gt;""),AND('2022 Satellite(s)'!$M$66&lt;&gt;"",'2022 Satellite(s)'!$M68="",'2022 Annual Report'!$D$432&lt;&gt;"")),1,"")</f>
        <v/>
      </c>
      <c r="Q68" s="300"/>
      <c r="R68" s="300"/>
      <c r="S68" s="300"/>
      <c r="T68" s="300"/>
      <c r="U68" s="300"/>
      <c r="V68" s="300"/>
      <c r="W68" s="300"/>
      <c r="Z68" s="818"/>
      <c r="AA68" s="818"/>
      <c r="AB68" s="818"/>
      <c r="AC68" s="818"/>
      <c r="AD68" s="818"/>
      <c r="AE68" s="818"/>
      <c r="AF68" s="818"/>
      <c r="AI68" s="831"/>
      <c r="AJ68" s="831"/>
      <c r="AK68" s="300"/>
      <c r="AL68" s="300"/>
      <c r="AM68" s="300"/>
      <c r="AN68" s="300"/>
      <c r="AO68" s="261"/>
      <c r="AP68" s="295"/>
      <c r="AR68" s="831"/>
      <c r="AS68" s="831"/>
      <c r="AT68" s="5"/>
      <c r="AU68" s="5"/>
      <c r="AV68" s="5"/>
      <c r="AW68" s="5"/>
      <c r="AX68" s="260"/>
      <c r="AY68" s="295" t="str">
        <f>IF(AX68=1,"&lt;===", "")</f>
        <v/>
      </c>
      <c r="BJ68" s="833"/>
      <c r="BK68" s="833"/>
      <c r="BL68" s="833"/>
      <c r="BM68" s="833"/>
      <c r="BN68" s="833"/>
      <c r="BO68" s="833"/>
      <c r="BP68" s="833"/>
    </row>
    <row r="69" spans="1:69" ht="18" customHeight="1" x14ac:dyDescent="0.25">
      <c r="A69" s="205"/>
      <c r="B69" s="307"/>
      <c r="C69" s="161" t="s">
        <v>25</v>
      </c>
      <c r="D69" s="314"/>
      <c r="E69" s="165"/>
      <c r="F69" s="165"/>
      <c r="G69" s="165"/>
      <c r="H69" s="165"/>
      <c r="I69" s="165"/>
      <c r="J69" s="165"/>
      <c r="K69" s="165"/>
      <c r="L69" s="165"/>
      <c r="M69" s="165"/>
      <c r="N69" s="72" t="str">
        <f>IF(COUNT(E69:M69),SUM(E69:M69),"")</f>
        <v/>
      </c>
      <c r="O69" s="221" t="str">
        <f>IF(P69=1, "&lt;===", "")</f>
        <v/>
      </c>
      <c r="P69" s="223" t="str">
        <f>IF(OR(AND($E$66&lt;&gt;"",$E69="",'2022 Annual Report'!$D$432&lt;&gt;""),AND('2022 Satellite(s)'!$F$66&lt;&gt;"",'2022 Satellite(s)'!$F69="",'2022 Annual Report'!$D$432&lt;&gt;""),AND('2022 Satellite(s)'!$G$66&lt;&gt;"",'2022 Satellite(s)'!$G69="",'2022 Annual Report'!$D$432&lt;&gt;""),AND('2022 Satellite(s)'!$H$66&lt;&gt;"",'2022 Satellite(s)'!$H69="",'2022 Annual Report'!$D$432&lt;&gt;""),AND('2022 Satellite(s)'!$I$66&lt;&gt;"",'2022 Satellite(s)'!$I69="",'2022 Annual Report'!$D$432&lt;&gt;""),AND('2022 Satellite(s)'!$J$66&lt;&gt;"",'2022 Satellite(s)'!$J69="",'2022 Annual Report'!$D$432&lt;&gt;""),AND('2022 Satellite(s)'!$K$66&lt;&gt;"",'2022 Satellite(s)'!$K69="",'2022 Annual Report'!$D$432&lt;&gt;""),AND('2022 Satellite(s)'!$L$66&lt;&gt;"",'2022 Satellite(s)'!$L69="",'2022 Annual Report'!$D$432&lt;&gt;""),AND('2022 Satellite(s)'!$M$66&lt;&gt;"",'2022 Satellite(s)'!$M69="",'2022 Annual Report'!$D$432&lt;&gt;"")),1,"")</f>
        <v/>
      </c>
      <c r="Q69" s="3"/>
      <c r="Z69" s="831"/>
      <c r="AA69" s="831"/>
      <c r="AF69" s="298"/>
      <c r="AG69" s="295"/>
      <c r="AK69" s="4"/>
      <c r="AR69" s="5"/>
      <c r="AS69" s="5"/>
      <c r="AT69" s="5"/>
      <c r="AU69" s="5"/>
      <c r="AV69" s="5"/>
      <c r="AW69" s="5"/>
      <c r="AX69" s="5"/>
      <c r="BA69" s="832"/>
      <c r="BB69" s="832"/>
      <c r="BC69" s="832"/>
      <c r="BD69" s="832"/>
      <c r="BE69" s="832"/>
      <c r="BF69" s="832"/>
      <c r="BG69" s="832"/>
      <c r="BJ69" s="833"/>
      <c r="BK69" s="833"/>
      <c r="BL69" s="833"/>
      <c r="BM69" s="833"/>
      <c r="BN69" s="833"/>
      <c r="BO69" s="833"/>
      <c r="BP69" s="833"/>
    </row>
    <row r="70" spans="1:69" ht="18" customHeight="1" x14ac:dyDescent="0.25">
      <c r="A70" s="205"/>
      <c r="B70" s="64"/>
      <c r="C70" s="160" t="s">
        <v>26</v>
      </c>
      <c r="D70" s="61"/>
      <c r="E70" s="166"/>
      <c r="F70" s="166"/>
      <c r="G70" s="166"/>
      <c r="H70" s="166"/>
      <c r="I70" s="166"/>
      <c r="J70" s="166"/>
      <c r="K70" s="166"/>
      <c r="L70" s="166"/>
      <c r="M70" s="166"/>
      <c r="N70" s="71" t="str">
        <f>IF(COUNT(E70:M70),SUM(E70:M70),"")</f>
        <v/>
      </c>
      <c r="O70" s="221" t="str">
        <f>IF(P70=1, "&lt;===", "")</f>
        <v/>
      </c>
      <c r="P70" s="223" t="str">
        <f>IF(OR(AND($E$66&lt;&gt;"",$E70="",'2022 Annual Report'!$D$432&lt;&gt;""),AND('2022 Satellite(s)'!$F$66&lt;&gt;"",'2022 Satellite(s)'!$F70="",'2022 Annual Report'!$D$432&lt;&gt;""),AND('2022 Satellite(s)'!$G$66&lt;&gt;"",'2022 Satellite(s)'!$G70="",'2022 Annual Report'!$D$432&lt;&gt;""),AND('2022 Satellite(s)'!$H$66&lt;&gt;"",'2022 Satellite(s)'!$H70="",'2022 Annual Report'!$D$432&lt;&gt;""),AND('2022 Satellite(s)'!$I$66&lt;&gt;"",'2022 Satellite(s)'!$I70="",'2022 Annual Report'!$D$432&lt;&gt;""),AND('2022 Satellite(s)'!$J$66&lt;&gt;"",'2022 Satellite(s)'!$J70="",'2022 Annual Report'!$D$432&lt;&gt;""),AND('2022 Satellite(s)'!$K$66&lt;&gt;"",'2022 Satellite(s)'!$K70="",'2022 Annual Report'!$D$432&lt;&gt;""),AND('2022 Satellite(s)'!$L$66&lt;&gt;"",'2022 Satellite(s)'!$L70="",'2022 Annual Report'!$D$432&lt;&gt;""),AND('2022 Satellite(s)'!$M$66&lt;&gt;"",'2022 Satellite(s)'!$M70="",'2022 Annual Report'!$D$432&lt;&gt;"")),1,"")</f>
        <v/>
      </c>
      <c r="Q70" s="834"/>
      <c r="R70" s="834"/>
      <c r="S70" s="834"/>
      <c r="T70" s="834"/>
      <c r="U70" s="834"/>
      <c r="V70" s="834"/>
      <c r="W70" s="834"/>
      <c r="AR70" s="83"/>
      <c r="AS70" s="83"/>
      <c r="AT70" s="83"/>
      <c r="AU70" s="83"/>
      <c r="AV70" s="83"/>
      <c r="AW70" s="83"/>
      <c r="AX70" s="83"/>
      <c r="BA70" s="832"/>
      <c r="BB70" s="832"/>
      <c r="BC70" s="832"/>
      <c r="BD70" s="832"/>
      <c r="BE70" s="832"/>
      <c r="BF70" s="832"/>
      <c r="BG70" s="832"/>
      <c r="BJ70" s="833"/>
      <c r="BK70" s="833"/>
      <c r="BL70" s="833"/>
      <c r="BM70" s="833"/>
      <c r="BN70" s="833"/>
      <c r="BO70" s="833"/>
      <c r="BP70" s="833"/>
    </row>
    <row r="71" spans="1:69" ht="25.5" customHeight="1" x14ac:dyDescent="0.25">
      <c r="A71" s="205"/>
      <c r="B71" s="162" t="s">
        <v>39</v>
      </c>
      <c r="C71" s="26"/>
      <c r="D71" s="26"/>
      <c r="E71" s="195" t="str">
        <f>IF(OR(E68="",E69="",E70=""),"",SUM(E68:E70))</f>
        <v/>
      </c>
      <c r="F71" s="195" t="str">
        <f t="shared" ref="F71:M71" si="2">IF(OR(F68="",F69="",F70=""),"",SUM(F68:F70))</f>
        <v/>
      </c>
      <c r="G71" s="195" t="str">
        <f t="shared" si="2"/>
        <v/>
      </c>
      <c r="H71" s="195" t="str">
        <f t="shared" si="2"/>
        <v/>
      </c>
      <c r="I71" s="195" t="str">
        <f t="shared" si="2"/>
        <v/>
      </c>
      <c r="J71" s="195" t="str">
        <f t="shared" si="2"/>
        <v/>
      </c>
      <c r="K71" s="195" t="str">
        <f t="shared" si="2"/>
        <v/>
      </c>
      <c r="L71" s="195" t="str">
        <f t="shared" si="2"/>
        <v/>
      </c>
      <c r="M71" s="195" t="str">
        <f t="shared" si="2"/>
        <v/>
      </c>
      <c r="N71" s="192" t="str">
        <f>IF(COUNT(N68:N70),SUM(N68:N70),"")</f>
        <v/>
      </c>
      <c r="P71" s="223"/>
      <c r="Q71" s="831"/>
      <c r="R71" s="831"/>
      <c r="S71" s="80"/>
      <c r="T71" s="80"/>
      <c r="U71" s="80"/>
      <c r="V71" s="80"/>
      <c r="W71" s="225"/>
      <c r="X71" s="295"/>
      <c r="AR71" s="83"/>
      <c r="AS71" s="83"/>
      <c r="AT71" s="83"/>
      <c r="AU71" s="83"/>
      <c r="AV71" s="83"/>
      <c r="AW71" s="83"/>
      <c r="AX71" s="83"/>
      <c r="BA71" s="831"/>
      <c r="BB71" s="831"/>
      <c r="BG71" s="298"/>
      <c r="BH71" s="295"/>
      <c r="BJ71" s="833"/>
      <c r="BK71" s="833"/>
      <c r="BL71" s="833"/>
      <c r="BM71" s="833"/>
      <c r="BN71" s="833"/>
      <c r="BO71" s="833"/>
      <c r="BP71" s="833"/>
    </row>
    <row r="72" spans="1:69" ht="44.25" customHeight="1" x14ac:dyDescent="0.25">
      <c r="A72" s="205"/>
      <c r="B72" s="805" t="s">
        <v>97</v>
      </c>
      <c r="C72" s="806"/>
      <c r="D72" s="806"/>
      <c r="E72" s="806"/>
      <c r="F72" s="806"/>
      <c r="G72" s="806"/>
      <c r="H72" s="806"/>
      <c r="I72" s="806"/>
      <c r="J72" s="806"/>
      <c r="K72" s="806"/>
      <c r="L72" s="806"/>
      <c r="M72" s="806"/>
      <c r="N72" s="178"/>
      <c r="P72" s="223"/>
      <c r="Q72" s="80"/>
      <c r="R72" s="80"/>
      <c r="S72" s="80"/>
      <c r="T72" s="80"/>
      <c r="U72" s="80"/>
      <c r="V72" s="80"/>
      <c r="W72" s="80"/>
      <c r="Y72" s="312"/>
      <c r="Z72" s="818"/>
      <c r="AA72" s="818"/>
      <c r="AB72" s="818"/>
      <c r="AC72" s="818"/>
      <c r="AD72" s="818"/>
      <c r="AE72" s="818"/>
      <c r="AF72" s="818"/>
      <c r="AH72" s="306"/>
      <c r="AI72" s="818"/>
      <c r="AJ72" s="818"/>
      <c r="AK72" s="818"/>
      <c r="AL72" s="818"/>
      <c r="AM72" s="818"/>
      <c r="AN72" s="818"/>
      <c r="AO72" s="818"/>
      <c r="AR72" s="818"/>
      <c r="AS72" s="818"/>
      <c r="AT72" s="818"/>
      <c r="AU72" s="818"/>
      <c r="AV72" s="818"/>
      <c r="AW72" s="818"/>
      <c r="AX72" s="818"/>
    </row>
    <row r="73" spans="1:69" ht="18" customHeight="1" x14ac:dyDescent="0.25">
      <c r="A73" s="205"/>
      <c r="B73" s="64"/>
      <c r="C73" s="160" t="s">
        <v>27</v>
      </c>
      <c r="D73" s="61"/>
      <c r="E73" s="163"/>
      <c r="F73" s="163"/>
      <c r="G73" s="163"/>
      <c r="H73" s="163"/>
      <c r="I73" s="163"/>
      <c r="J73" s="163"/>
      <c r="K73" s="163"/>
      <c r="L73" s="163"/>
      <c r="M73" s="163"/>
      <c r="N73" s="179" t="str">
        <f>IF(COUNT(E73:M73),SUM(E73:M73),"")</f>
        <v/>
      </c>
      <c r="O73" s="221" t="str">
        <f>IF(P73=1, "&lt;===", "")</f>
        <v/>
      </c>
      <c r="P73" s="223" t="str">
        <f>IF(OR(AND($E$66&lt;&gt;"",$E73="",'2022 Annual Report'!$D$432&lt;&gt;""),AND('2022 Satellite(s)'!$F$66&lt;&gt;"",'2022 Satellite(s)'!$F73="",'2022 Annual Report'!$D$432&lt;&gt;""),AND('2022 Satellite(s)'!$G$66&lt;&gt;"",'2022 Satellite(s)'!$G73="",'2022 Annual Report'!$D$432&lt;&gt;""),AND('2022 Satellite(s)'!$H$66&lt;&gt;"",'2022 Satellite(s)'!$H73="",'2022 Annual Report'!$D$432&lt;&gt;""),AND('2022 Satellite(s)'!$I$66&lt;&gt;"",'2022 Satellite(s)'!$I73="",'2022 Annual Report'!$D$432&lt;&gt;""),AND('2022 Satellite(s)'!$J$66&lt;&gt;"",'2022 Satellite(s)'!$J73="",'2022 Annual Report'!$D$432&lt;&gt;""),AND('2022 Satellite(s)'!$K$66&lt;&gt;"",'2022 Satellite(s)'!$K73="",'2022 Annual Report'!$D$432&lt;&gt;""),AND('2022 Satellite(s)'!$L$66&lt;&gt;"",'2022 Satellite(s)'!$L73="",'2022 Annual Report'!$D$432&lt;&gt;""),AND('2022 Satellite(s)'!$M$66&lt;&gt;"",'2022 Satellite(s)'!$M73="",'2022 Annual Report'!$D$432&lt;&gt;"")),1,"")</f>
        <v/>
      </c>
      <c r="Q73" s="835"/>
      <c r="R73" s="835"/>
      <c r="S73" s="835"/>
      <c r="T73" s="835"/>
      <c r="U73" s="835"/>
      <c r="V73" s="835"/>
      <c r="W73" s="835"/>
      <c r="Z73" s="818"/>
      <c r="AA73" s="818"/>
      <c r="AB73" s="818"/>
      <c r="AC73" s="818"/>
      <c r="AD73" s="818"/>
      <c r="AE73" s="818"/>
      <c r="AF73" s="818"/>
      <c r="AI73" s="818"/>
      <c r="AJ73" s="818"/>
      <c r="AK73" s="818"/>
      <c r="AL73" s="818"/>
      <c r="AM73" s="818"/>
      <c r="AN73" s="818"/>
      <c r="AO73" s="818"/>
      <c r="AR73" s="818"/>
      <c r="AS73" s="818"/>
      <c r="AT73" s="818"/>
      <c r="AU73" s="818"/>
      <c r="AV73" s="818"/>
      <c r="AW73" s="818"/>
      <c r="AX73" s="818"/>
      <c r="BA73" s="818" t="str">
        <f>IF(AI63="Please Select","",IF(AND(AZ62&lt;&gt;"",BA63="Yes",BA67="Yes"),"Describe the non-academic pattern or trend and the disciplanary action(s) that causes high attrition:",IF(AND(AZ62&lt;&gt;"",BA63="Yes",BA67="No"),"Describe the non-academic pattern or trend that causes high attrition:",IF(AND(AZ62&lt;&gt;"",BA63="No",BA67="Yes"),"Describe the disciplinary action(s) that cause high attrition:",IF(AND(AZ62&lt;&gt;"",BA63="No",BA67="No"),"          Complete additional questions to the right ==&gt;","")))))</f>
        <v/>
      </c>
      <c r="BB73" s="818"/>
      <c r="BC73" s="818"/>
      <c r="BD73" s="818"/>
      <c r="BE73" s="818"/>
      <c r="BF73" s="818"/>
      <c r="BG73" s="818"/>
      <c r="BI73" s="306" t="str">
        <f>IF(AI63="Please Select","",IF(AI63="Yes","15)",IF(AI63="No","13)","")))</f>
        <v/>
      </c>
      <c r="BJ73" s="656" t="str">
        <f>IF(AI63="Please Select","",IF(AI63="Yes","What is the program's action plan and the timetable for those actions to address each of your conclusions?",IF(AI63="No","What is the program's action plan and the timetable for those actions to address each of your conclusions?","")))</f>
        <v/>
      </c>
      <c r="BK73" s="656"/>
      <c r="BL73" s="656"/>
      <c r="BM73" s="656"/>
      <c r="BN73" s="656"/>
      <c r="BO73" s="656"/>
      <c r="BP73" s="656"/>
    </row>
    <row r="74" spans="1:69" ht="18" customHeight="1" x14ac:dyDescent="0.25">
      <c r="A74" s="205"/>
      <c r="B74" s="307"/>
      <c r="C74" s="161" t="s">
        <v>41</v>
      </c>
      <c r="D74" s="314"/>
      <c r="E74" s="169"/>
      <c r="F74" s="169"/>
      <c r="G74" s="169"/>
      <c r="H74" s="169"/>
      <c r="I74" s="169"/>
      <c r="J74" s="169"/>
      <c r="K74" s="169"/>
      <c r="L74" s="169"/>
      <c r="M74" s="169"/>
      <c r="N74" s="73" t="str">
        <f>IF(COUNT(E74:M74),SUM(E74:M74),"")</f>
        <v/>
      </c>
      <c r="O74" s="221" t="str">
        <f>IF(P74=1, "&lt;===", "")</f>
        <v/>
      </c>
      <c r="P74" s="223" t="str">
        <f>IF(OR(AND($E$66&lt;&gt;"",$E74="",'2022 Annual Report'!$D$432&lt;&gt;""),AND('2022 Satellite(s)'!$F$66&lt;&gt;"",'2022 Satellite(s)'!$F74="",'2022 Annual Report'!$D$432&lt;&gt;""),AND('2022 Satellite(s)'!$G$66&lt;&gt;"",'2022 Satellite(s)'!$G74="",'2022 Annual Report'!$D$432&lt;&gt;""),AND('2022 Satellite(s)'!$H$66&lt;&gt;"",'2022 Satellite(s)'!$H74="",'2022 Annual Report'!$D$432&lt;&gt;""),AND('2022 Satellite(s)'!$I$66&lt;&gt;"",'2022 Satellite(s)'!$I74="",'2022 Annual Report'!$D$432&lt;&gt;""),AND('2022 Satellite(s)'!$J$66&lt;&gt;"",'2022 Satellite(s)'!$J74="",'2022 Annual Report'!$D$432&lt;&gt;""),AND('2022 Satellite(s)'!$K$66&lt;&gt;"",'2022 Satellite(s)'!$K74="",'2022 Annual Report'!$D$432&lt;&gt;""),AND('2022 Satellite(s)'!$L$66&lt;&gt;"",'2022 Satellite(s)'!$L74="",'2022 Annual Report'!$D$432&lt;&gt;""),AND('2022 Satellite(s)'!$M$66&lt;&gt;"",'2022 Satellite(s)'!$M74="",'2022 Annual Report'!$D$432&lt;&gt;"")),1,"")</f>
        <v/>
      </c>
      <c r="Q74" s="835"/>
      <c r="R74" s="835"/>
      <c r="S74" s="835"/>
      <c r="T74" s="835"/>
      <c r="U74" s="835"/>
      <c r="V74" s="835"/>
      <c r="W74" s="835"/>
      <c r="Z74" s="831"/>
      <c r="AA74" s="831"/>
      <c r="AC74" s="642"/>
      <c r="AD74" s="642"/>
      <c r="AE74" s="831"/>
      <c r="AF74" s="831"/>
      <c r="AG74" s="295"/>
      <c r="AI74" s="831"/>
      <c r="AJ74" s="831"/>
      <c r="AO74" s="3"/>
      <c r="AP74" s="295"/>
      <c r="AR74" s="833"/>
      <c r="AS74" s="833"/>
      <c r="AT74" s="833"/>
      <c r="AU74" s="833"/>
      <c r="AV74" s="833"/>
      <c r="AW74" s="833"/>
      <c r="AX74" s="833"/>
      <c r="BA74" s="818"/>
      <c r="BB74" s="818"/>
      <c r="BC74" s="818"/>
      <c r="BD74" s="818"/>
      <c r="BE74" s="818"/>
      <c r="BF74" s="818"/>
      <c r="BG74" s="818"/>
      <c r="BJ74" s="656"/>
      <c r="BK74" s="656"/>
      <c r="BL74" s="656"/>
      <c r="BM74" s="656"/>
      <c r="BN74" s="656"/>
      <c r="BO74" s="656"/>
      <c r="BP74" s="656"/>
    </row>
    <row r="75" spans="1:69" ht="18" customHeight="1" x14ac:dyDescent="0.25">
      <c r="A75" s="205"/>
      <c r="B75" s="64"/>
      <c r="C75" s="160" t="s">
        <v>42</v>
      </c>
      <c r="D75" s="61"/>
      <c r="E75" s="168"/>
      <c r="F75" s="168"/>
      <c r="G75" s="168"/>
      <c r="H75" s="168"/>
      <c r="I75" s="168"/>
      <c r="J75" s="168"/>
      <c r="K75" s="168"/>
      <c r="L75" s="168"/>
      <c r="M75" s="168"/>
      <c r="N75" s="74" t="str">
        <f>IF(COUNT(E75:M75),SUM(E75:M75),"")</f>
        <v/>
      </c>
      <c r="O75" s="221" t="str">
        <f>IF(P75=1, "&lt;===", "")</f>
        <v/>
      </c>
      <c r="P75" s="223" t="str">
        <f>IF(OR(AND($E$66&lt;&gt;"",$E75="",'2022 Annual Report'!$D$432&lt;&gt;""),AND('2022 Satellite(s)'!$F$66&lt;&gt;"",'2022 Satellite(s)'!$F75="",'2022 Annual Report'!$D$432&lt;&gt;""),AND('2022 Satellite(s)'!$G$66&lt;&gt;"",'2022 Satellite(s)'!$G75="",'2022 Annual Report'!$D$432&lt;&gt;""),AND('2022 Satellite(s)'!$H$66&lt;&gt;"",'2022 Satellite(s)'!$H75="",'2022 Annual Report'!$D$432&lt;&gt;""),AND('2022 Satellite(s)'!$I$66&lt;&gt;"",'2022 Satellite(s)'!$I75="",'2022 Annual Report'!$D$432&lt;&gt;""),AND('2022 Satellite(s)'!$J$66&lt;&gt;"",'2022 Satellite(s)'!$J75="",'2022 Annual Report'!$D$432&lt;&gt;""),AND('2022 Satellite(s)'!$K$66&lt;&gt;"",'2022 Satellite(s)'!$K75="",'2022 Annual Report'!$D$432&lt;&gt;""),AND('2022 Satellite(s)'!$L$66&lt;&gt;"",'2022 Satellite(s)'!$L75="",'2022 Annual Report'!$D$432&lt;&gt;""),AND('2022 Satellite(s)'!$M$66&lt;&gt;"",'2022 Satellite(s)'!$M75="",'2022 Annual Report'!$D$432&lt;&gt;"")),1,"")</f>
        <v/>
      </c>
      <c r="Q75" s="842"/>
      <c r="R75" s="842"/>
      <c r="S75" s="842"/>
      <c r="T75" s="842"/>
      <c r="U75" s="842"/>
      <c r="V75" s="842"/>
      <c r="W75" s="842"/>
      <c r="AF75" s="298"/>
      <c r="AR75" s="833"/>
      <c r="AS75" s="833"/>
      <c r="AT75" s="833"/>
      <c r="AU75" s="833"/>
      <c r="AV75" s="833"/>
      <c r="AW75" s="833"/>
      <c r="AX75" s="833"/>
      <c r="BA75" s="833"/>
      <c r="BB75" s="833"/>
      <c r="BC75" s="833"/>
      <c r="BD75" s="833"/>
      <c r="BE75" s="833"/>
      <c r="BF75" s="833"/>
      <c r="BG75" s="833"/>
      <c r="BJ75" s="833"/>
      <c r="BK75" s="833"/>
      <c r="BL75" s="833"/>
      <c r="BM75" s="833"/>
      <c r="BN75" s="833"/>
      <c r="BO75" s="833"/>
      <c r="BP75" s="833"/>
    </row>
    <row r="76" spans="1:69" ht="25.5" customHeight="1" x14ac:dyDescent="0.25">
      <c r="A76" s="205"/>
      <c r="B76" s="775" t="s">
        <v>40</v>
      </c>
      <c r="C76" s="776"/>
      <c r="D76" s="777"/>
      <c r="E76" s="195" t="str">
        <f>IF(OR(E73="",E74="",E75=""),"",SUM(E73:E75))</f>
        <v/>
      </c>
      <c r="F76" s="195" t="str">
        <f>IF(OR(F73="",F74="",F75=""),"",SUM(F73:F75))</f>
        <v/>
      </c>
      <c r="G76" s="195" t="str">
        <f t="shared" ref="G76:M76" si="3">IF(OR(G73="",G74="",G75=""),"",SUM(G73:G75))</f>
        <v/>
      </c>
      <c r="H76" s="195" t="str">
        <f>IF(OR(H73="",H74="",H75=""),"",SUM(H73:H75))</f>
        <v/>
      </c>
      <c r="I76" s="195" t="str">
        <f t="shared" si="3"/>
        <v/>
      </c>
      <c r="J76" s="195" t="str">
        <f>IF(OR(J73="",J74="",J75=""),"",SUM(J73:J75))</f>
        <v/>
      </c>
      <c r="K76" s="195" t="str">
        <f t="shared" si="3"/>
        <v/>
      </c>
      <c r="L76" s="195" t="str">
        <f t="shared" si="3"/>
        <v/>
      </c>
      <c r="M76" s="195" t="str">
        <f t="shared" si="3"/>
        <v/>
      </c>
      <c r="N76" s="192" t="str">
        <f>IF(COUNT(N73:N75),SUM(N73:N75),"")</f>
        <v/>
      </c>
      <c r="P76" s="223"/>
      <c r="Q76" s="842"/>
      <c r="R76" s="842"/>
      <c r="S76" s="842"/>
      <c r="T76" s="842"/>
      <c r="U76" s="842"/>
      <c r="V76" s="842"/>
      <c r="W76" s="842"/>
      <c r="Y76" s="312"/>
      <c r="Z76" s="818"/>
      <c r="AA76" s="818"/>
      <c r="AB76" s="818"/>
      <c r="AC76" s="818"/>
      <c r="AD76" s="818"/>
      <c r="AE76" s="818"/>
      <c r="AF76" s="818"/>
      <c r="AI76" s="818"/>
      <c r="AJ76" s="818"/>
      <c r="AK76" s="818"/>
      <c r="AL76" s="818"/>
      <c r="AM76" s="818"/>
      <c r="AN76" s="818"/>
      <c r="AO76" s="818"/>
      <c r="AR76" s="833"/>
      <c r="AS76" s="833"/>
      <c r="AT76" s="833"/>
      <c r="AU76" s="833"/>
      <c r="AV76" s="833"/>
      <c r="AW76" s="833"/>
      <c r="AX76" s="833"/>
      <c r="BA76" s="833"/>
      <c r="BB76" s="833"/>
      <c r="BC76" s="833"/>
      <c r="BD76" s="833"/>
      <c r="BE76" s="833"/>
      <c r="BF76" s="833"/>
      <c r="BG76" s="833"/>
      <c r="BJ76" s="833"/>
      <c r="BK76" s="833"/>
      <c r="BL76" s="833"/>
      <c r="BM76" s="833"/>
      <c r="BN76" s="833"/>
      <c r="BO76" s="833"/>
      <c r="BP76" s="833"/>
    </row>
    <row r="77" spans="1:69" ht="24.75" customHeight="1" x14ac:dyDescent="0.25">
      <c r="A77" s="205"/>
      <c r="B77" s="771" t="str">
        <f>"Total Satellite Attrition " &amp;D4</f>
        <v>Total Satellite Attrition 2022</v>
      </c>
      <c r="C77" s="772"/>
      <c r="D77" s="773"/>
      <c r="E77" s="194" t="str">
        <f>IF(OR(E66=0,E71="",E76=""),"",(SUM(E71,E76)))</f>
        <v/>
      </c>
      <c r="F77" s="194" t="str">
        <f t="shared" ref="F77:M77" si="4">IF(OR(F66=0,F71="",F76=""),"",(SUM(F71,F76)))</f>
        <v/>
      </c>
      <c r="G77" s="194" t="str">
        <f t="shared" si="4"/>
        <v/>
      </c>
      <c r="H77" s="194" t="str">
        <f t="shared" si="4"/>
        <v/>
      </c>
      <c r="I77" s="194" t="str">
        <f t="shared" si="4"/>
        <v/>
      </c>
      <c r="J77" s="194" t="str">
        <f t="shared" si="4"/>
        <v/>
      </c>
      <c r="K77" s="194" t="str">
        <f t="shared" si="4"/>
        <v/>
      </c>
      <c r="L77" s="194" t="str">
        <f t="shared" si="4"/>
        <v/>
      </c>
      <c r="M77" s="194" t="str">
        <f t="shared" si="4"/>
        <v/>
      </c>
      <c r="N77" s="193" t="str">
        <f>IF(COUNT(E77:M77),SUM(E77:M77),"")</f>
        <v/>
      </c>
      <c r="P77" s="224"/>
      <c r="Q77" s="842"/>
      <c r="R77" s="842"/>
      <c r="S77" s="842"/>
      <c r="T77" s="842"/>
      <c r="U77" s="842"/>
      <c r="V77" s="842"/>
      <c r="W77" s="842"/>
      <c r="Y77" s="201"/>
      <c r="Z77" s="818"/>
      <c r="AA77" s="818"/>
      <c r="AB77" s="818"/>
      <c r="AC77" s="818"/>
      <c r="AD77" s="818"/>
      <c r="AE77" s="818"/>
      <c r="AF77" s="818"/>
      <c r="AI77" s="818"/>
      <c r="AJ77" s="818"/>
      <c r="AK77" s="818"/>
      <c r="AL77" s="818"/>
      <c r="AM77" s="818"/>
      <c r="AN77" s="818"/>
      <c r="AO77" s="818"/>
      <c r="AR77" s="833"/>
      <c r="AS77" s="833"/>
      <c r="AT77" s="833"/>
      <c r="AU77" s="833"/>
      <c r="AV77" s="833"/>
      <c r="AW77" s="833"/>
      <c r="AX77" s="833"/>
      <c r="BA77" s="833"/>
      <c r="BB77" s="833"/>
      <c r="BC77" s="833"/>
      <c r="BD77" s="833"/>
      <c r="BE77" s="833"/>
      <c r="BF77" s="833"/>
      <c r="BG77" s="833"/>
      <c r="BJ77" s="833"/>
      <c r="BK77" s="833"/>
      <c r="BL77" s="833"/>
      <c r="BM77" s="833"/>
      <c r="BN77" s="833"/>
      <c r="BO77" s="833"/>
      <c r="BP77" s="833"/>
    </row>
    <row r="78" spans="1:69" ht="24.75" customHeight="1" thickBot="1" x14ac:dyDescent="0.3">
      <c r="A78" s="205"/>
      <c r="B78" s="180" t="str">
        <f>"Total Satellite Graduates " &amp;D4</f>
        <v>Total Satellite Graduates 2022</v>
      </c>
      <c r="C78" s="181"/>
      <c r="D78" s="181"/>
      <c r="E78" s="182" t="str">
        <f>IF(OR(E66=0,E71="",E76=""),"",(E66-(SUM(E71,E76))))</f>
        <v/>
      </c>
      <c r="F78" s="182" t="str">
        <f t="shared" ref="F78:M78" si="5">IF(OR(F66=0,F71="",F76=""),"",(F66-(SUM(F71,F76))))</f>
        <v/>
      </c>
      <c r="G78" s="182" t="str">
        <f t="shared" si="5"/>
        <v/>
      </c>
      <c r="H78" s="182" t="str">
        <f t="shared" si="5"/>
        <v/>
      </c>
      <c r="I78" s="182" t="str">
        <f t="shared" si="5"/>
        <v/>
      </c>
      <c r="J78" s="182" t="str">
        <f t="shared" si="5"/>
        <v/>
      </c>
      <c r="K78" s="182" t="str">
        <f t="shared" si="5"/>
        <v/>
      </c>
      <c r="L78" s="182" t="str">
        <f t="shared" si="5"/>
        <v/>
      </c>
      <c r="M78" s="182" t="str">
        <f t="shared" si="5"/>
        <v/>
      </c>
      <c r="N78" s="182" t="str">
        <f>IF(COUNT(E78:M78),SUM(E78:M78),"")</f>
        <v/>
      </c>
      <c r="Q78" s="842"/>
      <c r="R78" s="842"/>
      <c r="S78" s="842"/>
      <c r="T78" s="842"/>
      <c r="U78" s="842"/>
      <c r="V78" s="842"/>
      <c r="W78" s="842"/>
      <c r="X78" s="295"/>
      <c r="Z78" s="833"/>
      <c r="AA78" s="833"/>
      <c r="AB78" s="833"/>
      <c r="AC78" s="833"/>
      <c r="AD78" s="833"/>
      <c r="AE78" s="833"/>
      <c r="AF78" s="833"/>
      <c r="AG78" s="295"/>
      <c r="AI78" s="833"/>
      <c r="AJ78" s="833"/>
      <c r="AK78" s="833"/>
      <c r="AL78" s="833"/>
      <c r="AM78" s="833"/>
      <c r="AN78" s="833"/>
      <c r="AO78" s="833"/>
      <c r="AP78" s="295"/>
      <c r="AR78" s="833"/>
      <c r="AS78" s="833"/>
      <c r="AT78" s="833"/>
      <c r="AU78" s="833"/>
      <c r="AV78" s="833"/>
      <c r="AW78" s="833"/>
      <c r="AX78" s="833"/>
      <c r="AY78" s="295" t="e">
        <f>IF(AY79=1,"&lt;===", "")</f>
        <v>#REF!</v>
      </c>
      <c r="BA78" s="833"/>
      <c r="BB78" s="833"/>
      <c r="BC78" s="833"/>
      <c r="BD78" s="833"/>
      <c r="BE78" s="833"/>
      <c r="BF78" s="833"/>
      <c r="BG78" s="833"/>
      <c r="BH78" s="295" t="e">
        <f>IF(BH79=1,"&lt;===", "")</f>
        <v>#REF!</v>
      </c>
      <c r="BJ78" s="833"/>
      <c r="BK78" s="833"/>
      <c r="BL78" s="833"/>
      <c r="BM78" s="833"/>
      <c r="BN78" s="833"/>
      <c r="BO78" s="833"/>
      <c r="BP78" s="833"/>
      <c r="BQ78" s="295" t="e">
        <f>IF(BQ79=1,"&lt;===", "")</f>
        <v>#REF!</v>
      </c>
    </row>
    <row r="79" spans="1:69" ht="21.95" customHeight="1" thickTop="1" x14ac:dyDescent="0.25">
      <c r="A79" s="205"/>
      <c r="B79" s="839" t="s">
        <v>94</v>
      </c>
      <c r="C79" s="840"/>
      <c r="D79" s="841"/>
      <c r="E79" s="185" t="str">
        <f>IF(AND(E71="",E76=""),"",IFERROR(SUM(E68,E69,E70,E73,E74,E75)/E66,""))</f>
        <v/>
      </c>
      <c r="F79" s="185" t="str">
        <f t="shared" ref="F79:M79" si="6">IF(AND(F71="",F76=""),"",IFERROR(SUM(F68,F69,F70,F73,F74,F75)/F66,""))</f>
        <v/>
      </c>
      <c r="G79" s="185" t="str">
        <f t="shared" si="6"/>
        <v/>
      </c>
      <c r="H79" s="185" t="str">
        <f t="shared" si="6"/>
        <v/>
      </c>
      <c r="I79" s="185" t="str">
        <f t="shared" si="6"/>
        <v/>
      </c>
      <c r="J79" s="185" t="str">
        <f t="shared" si="6"/>
        <v/>
      </c>
      <c r="K79" s="185" t="str">
        <f t="shared" si="6"/>
        <v/>
      </c>
      <c r="L79" s="185" t="str">
        <f t="shared" si="6"/>
        <v/>
      </c>
      <c r="M79" s="273" t="str">
        <f t="shared" si="6"/>
        <v/>
      </c>
      <c r="N79" s="186" t="str">
        <f>IF(N78&lt;&gt;"",1-N80,IF(N80=0,"",""))</f>
        <v/>
      </c>
      <c r="O79" s="311"/>
      <c r="P79" s="224"/>
      <c r="Q79" s="842"/>
      <c r="R79" s="842"/>
      <c r="S79" s="842"/>
      <c r="T79" s="842"/>
      <c r="U79" s="842"/>
      <c r="V79" s="842"/>
      <c r="W79" s="842"/>
      <c r="X79" s="298"/>
      <c r="Z79" s="833"/>
      <c r="AA79" s="833"/>
      <c r="AB79" s="833"/>
      <c r="AC79" s="833"/>
      <c r="AD79" s="833"/>
      <c r="AE79" s="833"/>
      <c r="AF79" s="833"/>
      <c r="AG79" s="298"/>
      <c r="AI79" s="833"/>
      <c r="AJ79" s="833"/>
      <c r="AK79" s="833"/>
      <c r="AL79" s="833"/>
      <c r="AM79" s="833"/>
      <c r="AN79" s="833"/>
      <c r="AO79" s="833"/>
      <c r="AP79" s="298"/>
      <c r="AR79" s="833"/>
      <c r="AS79" s="833"/>
      <c r="AT79" s="833"/>
      <c r="AU79" s="833"/>
      <c r="AV79" s="833"/>
      <c r="AW79" s="833"/>
      <c r="AX79" s="833"/>
      <c r="AY79" s="298" t="e">
        <f>IF(AND(P62&lt;&gt;"", AR72&lt;&gt;"",AR72&lt;&gt;"          Proceed to the next question to the right ==&gt;",AR74="",#REF!&lt;&gt;""),1,"")</f>
        <v>#REF!</v>
      </c>
      <c r="BA79" s="833"/>
      <c r="BB79" s="833"/>
      <c r="BC79" s="833"/>
      <c r="BD79" s="833"/>
      <c r="BE79" s="833"/>
      <c r="BF79" s="833"/>
      <c r="BG79" s="833"/>
      <c r="BH79" s="298" t="e">
        <f>IF(AND(P62&lt;&gt;"", BA73&lt;&gt;"",BA73&lt;&gt;"          Complete additional questions to the right ==&gt;",BA75="",#REF!&lt;&gt;""),1,"")</f>
        <v>#REF!</v>
      </c>
      <c r="BJ79" s="833"/>
      <c r="BK79" s="833"/>
      <c r="BL79" s="833"/>
      <c r="BM79" s="833"/>
      <c r="BN79" s="833"/>
      <c r="BO79" s="833"/>
      <c r="BP79" s="833"/>
      <c r="BQ79" s="298" t="e">
        <f>IF(AND(P62&lt;&gt;"", AI63&lt;&gt;"Please Select",BJ75="",#REF!&lt;&gt;""),1, "")</f>
        <v>#REF!</v>
      </c>
    </row>
    <row r="80" spans="1:69" ht="26.25" customHeight="1" x14ac:dyDescent="0.25">
      <c r="A80" s="205"/>
      <c r="B80" s="783" t="s">
        <v>95</v>
      </c>
      <c r="C80" s="784"/>
      <c r="D80" s="785"/>
      <c r="E80" s="187" t="str">
        <f>IF(E78&lt;&gt;"",1-E79,IF(E79=0,"",""))</f>
        <v/>
      </c>
      <c r="F80" s="187" t="str">
        <f>IF(F78&lt;&gt;"",1-F79,IF(F79=0,"",""))</f>
        <v/>
      </c>
      <c r="G80" s="187" t="str">
        <f>IF(G78&lt;&gt;"",1-G79,IF(G79=0,"",""))</f>
        <v/>
      </c>
      <c r="H80" s="187" t="str">
        <f t="shared" ref="H80:M80" si="7">IF(H78&lt;&gt;"",1-H79,IF(H79=0,"",""))</f>
        <v/>
      </c>
      <c r="I80" s="187" t="str">
        <f t="shared" si="7"/>
        <v/>
      </c>
      <c r="J80" s="187" t="str">
        <f t="shared" si="7"/>
        <v/>
      </c>
      <c r="K80" s="187" t="str">
        <f t="shared" si="7"/>
        <v/>
      </c>
      <c r="L80" s="187" t="str">
        <f t="shared" si="7"/>
        <v/>
      </c>
      <c r="M80" s="188" t="str">
        <f t="shared" si="7"/>
        <v/>
      </c>
      <c r="N80" s="189">
        <f>IF(AND(N66&lt;&gt;"",N71&lt;&gt;"",N76&lt;&gt;""),N78/N66,0)</f>
        <v>0</v>
      </c>
      <c r="O80" s="221"/>
      <c r="P80" s="222"/>
      <c r="Q80" s="842"/>
      <c r="R80" s="842"/>
      <c r="S80" s="842"/>
      <c r="T80" s="842"/>
      <c r="U80" s="842"/>
      <c r="V80" s="842"/>
      <c r="W80" s="842"/>
      <c r="Z80" s="833"/>
      <c r="AA80" s="833"/>
      <c r="AB80" s="833"/>
      <c r="AC80" s="833"/>
      <c r="AD80" s="833"/>
      <c r="AE80" s="833"/>
      <c r="AF80" s="833"/>
      <c r="AI80" s="833"/>
      <c r="AJ80" s="833"/>
      <c r="AK80" s="833"/>
      <c r="AL80" s="833"/>
      <c r="AM80" s="833"/>
      <c r="AN80" s="833"/>
      <c r="AO80" s="833"/>
      <c r="AR80" s="833"/>
      <c r="AS80" s="833"/>
      <c r="AT80" s="833"/>
      <c r="AU80" s="833"/>
      <c r="AV80" s="833"/>
      <c r="AW80" s="833"/>
      <c r="AX80" s="833"/>
      <c r="BA80" s="833"/>
      <c r="BB80" s="833"/>
      <c r="BC80" s="833"/>
      <c r="BD80" s="833"/>
      <c r="BE80" s="833"/>
      <c r="BF80" s="833"/>
      <c r="BG80" s="833"/>
      <c r="BJ80" s="833"/>
      <c r="BK80" s="833"/>
      <c r="BL80" s="833"/>
      <c r="BM80" s="833"/>
      <c r="BN80" s="833"/>
      <c r="BO80" s="833"/>
      <c r="BP80" s="833"/>
    </row>
    <row r="81" spans="1:84" ht="93" customHeight="1" x14ac:dyDescent="0.25">
      <c r="A81" s="205"/>
      <c r="B81" s="836" t="str">
        <f>IF(OR(AND(N80&lt;0.7,B82="",N66&lt;&gt;"",N79&lt;&gt;0),AND(N66&lt;&gt;"",B82="",N80&gt;=0.7,N79&lt;100%)),"This table is finished.  
The overall results for this outcome are calculated on the "&amp;D4&amp;" Annual Report tab.  
Please complete the next table below.","")</f>
        <v/>
      </c>
      <c r="C81" s="837"/>
      <c r="D81" s="837"/>
      <c r="E81" s="837"/>
      <c r="F81" s="837"/>
      <c r="G81" s="837"/>
      <c r="H81" s="837"/>
      <c r="I81" s="837"/>
      <c r="J81" s="837"/>
      <c r="K81" s="837"/>
      <c r="L81" s="837"/>
      <c r="M81" s="837"/>
      <c r="N81" s="838"/>
      <c r="Q81" s="842"/>
      <c r="R81" s="842"/>
      <c r="S81" s="842"/>
      <c r="T81" s="842"/>
      <c r="U81" s="842"/>
      <c r="V81" s="842"/>
      <c r="W81" s="842"/>
      <c r="Z81" s="833"/>
      <c r="AA81" s="833"/>
      <c r="AB81" s="833"/>
      <c r="AC81" s="833"/>
      <c r="AD81" s="833"/>
      <c r="AE81" s="833"/>
      <c r="AF81" s="833"/>
      <c r="AI81" s="833"/>
      <c r="AJ81" s="833"/>
      <c r="AK81" s="833"/>
      <c r="AL81" s="833"/>
      <c r="AM81" s="833"/>
      <c r="AN81" s="833"/>
      <c r="AO81" s="833"/>
      <c r="AR81" s="833"/>
      <c r="AS81" s="833"/>
      <c r="AT81" s="833"/>
      <c r="AU81" s="833"/>
      <c r="AV81" s="833"/>
      <c r="AW81" s="833"/>
      <c r="AX81" s="833"/>
      <c r="BA81" s="833"/>
      <c r="BB81" s="833"/>
      <c r="BC81" s="833"/>
      <c r="BD81" s="833"/>
      <c r="BE81" s="833"/>
      <c r="BF81" s="833"/>
      <c r="BG81" s="833"/>
      <c r="BJ81" s="833"/>
      <c r="BK81" s="833"/>
      <c r="BL81" s="833"/>
      <c r="BM81" s="833"/>
      <c r="BN81" s="833"/>
      <c r="BO81" s="833"/>
      <c r="BP81" s="833"/>
    </row>
    <row r="82" spans="1:84" ht="51.75" customHeight="1" x14ac:dyDescent="0.25">
      <c r="A82" s="205"/>
      <c r="B82" s="632" t="str">
        <f>IF(OR(AND(D4&lt;&gt;YEAR(E65),E65&lt;&gt;0),AND(D4&lt;&gt;YEAR(F65),F65&lt;&gt;0),AND(D4&lt;&gt;YEAR(G65),G65&lt;&gt;0),AND(D4&lt;&gt;YEAR(H65),H65&lt;&gt;0),AND(D4&lt;&gt;YEAR(I65),I65&lt;&gt;0),AND(D4&lt;&gt;YEAR(J65),J65&lt;&gt;0),AND(D4&lt;&gt;YEAR(K65),K65&lt;&gt;0),AND(D4&lt;&gt;YEAR(L65),L65&lt;&gt;0),AND(D4&lt;&gt;YEAR(M65),M65&lt;&gt;0)),"Error has occurred; Remove cohorts that do not graduate in the current year.",IF(OR(AND(E79&gt;100%,E78&lt;&gt;""),AND(F79&gt;100%,F78&lt;&gt;""),AND(G79&gt;100%,G78&lt;&gt;""),AND(H79&gt;100%,H78&lt;&gt;""),AND(I79&gt;100%,I78&lt;&gt;""),AND(J79&gt;100%,J78&lt;&gt;""),AND(K79&gt;100%,K78&lt;&gt;""),AND(L79&gt;100%,L78&lt;&gt;""),AND(M79&gt;100%,M78&lt;&gt;"")),"Error has occurred; Total number of graduates cannot be greater than the total number of students in the cohort",IF(OR(AND(E66&lt;&gt;"",E78="",E80=""),AND(F66&lt;&gt;"",F78="",F80=""),AND(G66&lt;&gt;"",G78="",G80=""),AND(H66&lt;&gt;"",H78="",H80=""),AND(I66&lt;&gt;"",I78="",I80=""),AND(J66&lt;&gt;"",J78="",J80=""),AND(K66&lt;&gt;"",K78="",K80=""),AND(L66&lt;&gt;"",L78="",L80=""),AND(M66&lt;&gt;"",M78="",M80="")),"Please Note: An empty or blank cell is not the same as a zero.",IF(AND(G29="Yes",P34&lt;&gt;"",P63&lt;&gt;""),"Error has occurred; The total number of active Satellite Locations selected for the table above is less than the total number of satellite data columns used",IF(AND(G29="No",N78&lt;&gt;""),"Error has occurred; No students graduated in the calendar year","")))))</f>
        <v/>
      </c>
      <c r="C82" s="632"/>
      <c r="D82" s="632"/>
      <c r="E82" s="632"/>
      <c r="F82" s="632"/>
      <c r="G82" s="632"/>
      <c r="H82" s="632"/>
      <c r="I82" s="632"/>
      <c r="J82" s="632"/>
      <c r="K82" s="632"/>
      <c r="L82" s="632"/>
      <c r="M82" s="632"/>
      <c r="N82" s="632"/>
      <c r="Q82" s="842"/>
      <c r="R82" s="842"/>
      <c r="S82" s="842"/>
      <c r="T82" s="842"/>
      <c r="U82" s="842"/>
      <c r="V82" s="842"/>
      <c r="W82" s="842"/>
      <c r="Z82" s="833"/>
      <c r="AA82" s="833"/>
      <c r="AB82" s="833"/>
      <c r="AC82" s="833"/>
      <c r="AD82" s="833"/>
      <c r="AE82" s="833"/>
      <c r="AF82" s="833"/>
      <c r="AI82" s="833"/>
      <c r="AJ82" s="833"/>
      <c r="AK82" s="833"/>
      <c r="AL82" s="833"/>
      <c r="AM82" s="833"/>
      <c r="AN82" s="833"/>
      <c r="AO82" s="833"/>
      <c r="AR82" s="833"/>
      <c r="AS82" s="833"/>
      <c r="AT82" s="833"/>
      <c r="AU82" s="833"/>
      <c r="AV82" s="833"/>
      <c r="AW82" s="833"/>
      <c r="AX82" s="833"/>
      <c r="BA82" s="833"/>
      <c r="BB82" s="833"/>
      <c r="BC82" s="833"/>
      <c r="BD82" s="833"/>
      <c r="BE82" s="833"/>
      <c r="BF82" s="833"/>
      <c r="BG82" s="833"/>
      <c r="BJ82" s="833"/>
      <c r="BK82" s="833"/>
      <c r="BL82" s="833"/>
      <c r="BM82" s="833"/>
      <c r="BN82" s="833"/>
      <c r="BO82" s="833"/>
      <c r="BP82" s="833"/>
    </row>
    <row r="83" spans="1:84" ht="114.75" customHeight="1" x14ac:dyDescent="0.25">
      <c r="A83" s="205"/>
      <c r="B83" s="600" t="s">
        <v>80</v>
      </c>
      <c r="C83" s="601"/>
      <c r="D83" s="601"/>
      <c r="E83" s="601"/>
      <c r="F83" s="601"/>
      <c r="G83" s="601"/>
      <c r="H83" s="601"/>
      <c r="I83" s="601"/>
      <c r="J83" s="601"/>
      <c r="K83" s="601"/>
      <c r="L83" s="601"/>
      <c r="M83" s="601"/>
      <c r="N83" s="602"/>
      <c r="Q83" s="842"/>
      <c r="R83" s="842"/>
      <c r="S83" s="842"/>
      <c r="T83" s="842"/>
      <c r="U83" s="842"/>
      <c r="V83" s="842"/>
      <c r="W83" s="842"/>
      <c r="Z83" s="833"/>
      <c r="AA83" s="833"/>
      <c r="AB83" s="833"/>
      <c r="AC83" s="833"/>
      <c r="AD83" s="833"/>
      <c r="AE83" s="833"/>
      <c r="AF83" s="833"/>
      <c r="AI83" s="833"/>
      <c r="AJ83" s="833"/>
      <c r="AK83" s="833"/>
      <c r="AL83" s="833"/>
      <c r="AM83" s="833"/>
      <c r="AN83" s="833"/>
      <c r="AO83" s="833"/>
      <c r="AR83" s="833"/>
      <c r="AS83" s="833"/>
      <c r="AT83" s="833"/>
      <c r="AU83" s="833"/>
      <c r="AV83" s="833"/>
      <c r="AW83" s="833"/>
      <c r="AX83" s="833"/>
      <c r="BA83" s="833"/>
      <c r="BB83" s="833"/>
      <c r="BC83" s="833"/>
      <c r="BD83" s="833"/>
      <c r="BE83" s="833"/>
      <c r="BF83" s="833"/>
      <c r="BG83" s="833"/>
      <c r="BJ83" s="833"/>
      <c r="BK83" s="833"/>
      <c r="BL83" s="833"/>
      <c r="BM83" s="833"/>
      <c r="BN83" s="833"/>
      <c r="BO83" s="833"/>
      <c r="BP83" s="833"/>
    </row>
    <row r="85" spans="1:84" x14ac:dyDescent="0.25">
      <c r="A85" s="205"/>
    </row>
    <row r="86" spans="1:84" ht="24" customHeight="1" x14ac:dyDescent="0.25">
      <c r="A86" s="205"/>
      <c r="C86" s="219">
        <f>$D$17</f>
        <v>0</v>
      </c>
      <c r="D86" s="678">
        <f>$D$19</f>
        <v>0</v>
      </c>
      <c r="E86" s="678"/>
      <c r="F86" s="678"/>
      <c r="G86" s="678"/>
      <c r="H86" s="678"/>
      <c r="I86" s="678"/>
      <c r="J86" s="678"/>
      <c r="K86" s="678"/>
      <c r="Q86" s="669"/>
      <c r="R86" s="669"/>
      <c r="S86" s="643"/>
      <c r="T86" s="643"/>
      <c r="U86" s="643"/>
      <c r="V86" s="643"/>
      <c r="W86" s="643"/>
      <c r="X86" s="643"/>
      <c r="Y86" s="643"/>
      <c r="Z86" s="643"/>
      <c r="AA86" s="643"/>
      <c r="AB86" s="643"/>
      <c r="AI86" s="669"/>
      <c r="AJ86" s="669"/>
      <c r="AK86" s="643"/>
      <c r="AL86" s="643"/>
      <c r="AM86" s="643"/>
      <c r="AN86" s="643"/>
      <c r="AO86" s="643"/>
      <c r="AP86" s="643"/>
      <c r="AQ86" s="643"/>
      <c r="AR86" s="643"/>
      <c r="AS86" s="643"/>
      <c r="AT86" s="643"/>
      <c r="BA86" s="669" t="e">
        <f>IF(#REF!&lt;&gt;"",$D$17,"")</f>
        <v>#REF!</v>
      </c>
      <c r="BB86" s="669"/>
      <c r="BC86" s="643" t="e">
        <f>IF(#REF!&lt;&gt;"",$D$19,"")</f>
        <v>#REF!</v>
      </c>
      <c r="BD86" s="643"/>
      <c r="BE86" s="643"/>
      <c r="BF86" s="643"/>
      <c r="BG86" s="643"/>
      <c r="BH86" s="643"/>
      <c r="BI86" s="643"/>
      <c r="BJ86" s="643"/>
      <c r="BK86" s="643"/>
      <c r="BL86" s="643"/>
      <c r="BT86" s="669" t="e">
        <f>IF(#REF!&lt;&gt;"",$D$17,"")</f>
        <v>#REF!</v>
      </c>
      <c r="BU86" s="669"/>
      <c r="BV86" s="643" t="e">
        <f>IF(#REF!&lt;&gt;"",$D$19,"")</f>
        <v>#REF!</v>
      </c>
      <c r="BW86" s="643"/>
      <c r="BX86" s="643"/>
      <c r="BY86" s="643"/>
      <c r="BZ86" s="643"/>
      <c r="CA86" s="843" t="e">
        <f>IF(#REF!&lt;&gt;"", "&lt;== Once the analysis and action plan boxes have 
        been completed, CLICK HERE to proceed to 
        the next section or scroll back", "")</f>
        <v>#REF!</v>
      </c>
      <c r="CB86" s="843"/>
      <c r="CC86" s="843"/>
      <c r="CD86" s="843"/>
      <c r="CE86" s="843"/>
      <c r="CF86" s="200"/>
    </row>
    <row r="87" spans="1:84" x14ac:dyDescent="0.25">
      <c r="E87" s="159"/>
      <c r="J87" s="302"/>
      <c r="K87" s="302"/>
      <c r="R87" s="643"/>
      <c r="S87" s="643"/>
      <c r="T87" s="643"/>
      <c r="U87" s="643"/>
      <c r="V87" s="643"/>
      <c r="W87" s="643"/>
      <c r="AK87" s="643"/>
      <c r="AL87" s="643"/>
      <c r="AM87" s="643"/>
      <c r="AN87" s="643"/>
      <c r="AO87" s="643"/>
      <c r="BD87" s="643"/>
      <c r="BE87" s="643"/>
      <c r="BF87" s="643"/>
      <c r="BG87" s="643"/>
      <c r="BH87" s="643"/>
      <c r="BL87" s="301"/>
      <c r="CA87" s="843"/>
      <c r="CB87" s="843"/>
      <c r="CC87" s="843"/>
      <c r="CD87" s="843"/>
      <c r="CE87" s="843"/>
    </row>
    <row r="88" spans="1:84" ht="23.25" customHeight="1" x14ac:dyDescent="0.25">
      <c r="A88" s="205"/>
      <c r="B88" s="40" t="s">
        <v>99</v>
      </c>
      <c r="C88" s="28"/>
      <c r="D88" s="28"/>
      <c r="E88" s="28"/>
      <c r="F88" s="28"/>
      <c r="G88" s="28"/>
      <c r="H88" s="28"/>
      <c r="I88" s="28"/>
      <c r="J88" s="28"/>
      <c r="K88" s="28"/>
      <c r="L88" s="28"/>
      <c r="M88" s="28"/>
      <c r="N88" s="29"/>
      <c r="Q88" s="88"/>
      <c r="R88" s="88"/>
      <c r="S88" s="88"/>
      <c r="T88" s="88"/>
      <c r="U88" s="88"/>
      <c r="V88" s="88"/>
      <c r="W88" s="88"/>
      <c r="X88" s="88"/>
      <c r="Z88" s="833"/>
      <c r="AA88" s="833"/>
      <c r="AB88" s="833"/>
      <c r="AC88" s="833"/>
      <c r="AD88" s="833"/>
      <c r="AE88" s="833"/>
      <c r="AF88" s="833"/>
      <c r="AG88" s="269"/>
      <c r="AI88" s="833"/>
      <c r="AJ88" s="833"/>
      <c r="AK88" s="833"/>
      <c r="AL88" s="833"/>
      <c r="AM88" s="833"/>
      <c r="AN88" s="833"/>
      <c r="AO88" s="833"/>
      <c r="AP88" s="269"/>
      <c r="AR88" s="833"/>
      <c r="AS88" s="833"/>
      <c r="AT88" s="833"/>
      <c r="AU88" s="833"/>
      <c r="AV88" s="833"/>
      <c r="AW88" s="833"/>
      <c r="AX88" s="833"/>
      <c r="AY88" s="267"/>
      <c r="BA88" s="300"/>
      <c r="BB88" s="300"/>
      <c r="BC88" s="300"/>
      <c r="BD88" s="300"/>
      <c r="BE88" s="300"/>
      <c r="BF88" s="300"/>
      <c r="BG88" s="300"/>
      <c r="BH88" s="82"/>
      <c r="BI88" s="82"/>
      <c r="BJ88" s="850"/>
      <c r="BK88" s="850"/>
      <c r="BL88" s="850"/>
      <c r="BM88" s="850"/>
      <c r="BN88" s="850"/>
      <c r="BO88" s="850"/>
      <c r="BP88" s="850"/>
      <c r="BQ88" s="315"/>
      <c r="BV88" s="818" t="e">
        <f>IF(#REF!="Yes","What equipment was purchased to address the identified deficiencies?",IF(#REF!="No","Proceed to next question below",""))</f>
        <v>#REF!</v>
      </c>
      <c r="BW88" s="818"/>
      <c r="BX88" s="818"/>
      <c r="BY88" s="818"/>
      <c r="BZ88" s="818"/>
      <c r="CA88" s="818"/>
      <c r="CB88" s="818"/>
      <c r="CC88" s="818"/>
      <c r="CD88" s="818"/>
      <c r="CE88" s="818"/>
    </row>
    <row r="89" spans="1:84" ht="62.25" customHeight="1" x14ac:dyDescent="0.25">
      <c r="A89" s="205"/>
      <c r="B89" s="679" t="str">
        <f>"The Written Examination (National Registry/State) outcome threshold set by the CoAEMSP is 70%.  The success of any examination results will be computed using the most recent reporting year ("&amp;D4&amp;") based on the total number of graduates attempting the examination.  Each graduate should be reported only once."</f>
        <v>The Written Examination (National Registry/State) outcome threshold set by the CoAEMSP is 70%.  The success of any examination results will be computed using the most recent reporting year (2022) based on the total number of graduates attempting the examination.  Each graduate should be reported only once.</v>
      </c>
      <c r="C89" s="680"/>
      <c r="D89" s="680"/>
      <c r="E89" s="680"/>
      <c r="F89" s="680"/>
      <c r="G89" s="680"/>
      <c r="H89" s="680"/>
      <c r="I89" s="680"/>
      <c r="J89" s="680"/>
      <c r="K89" s="680"/>
      <c r="L89" s="680"/>
      <c r="M89" s="680"/>
      <c r="N89" s="681"/>
      <c r="P89" s="225"/>
      <c r="Q89" s="818"/>
      <c r="R89" s="818"/>
      <c r="S89" s="818"/>
      <c r="T89" s="818"/>
      <c r="U89" s="818"/>
      <c r="V89" s="818"/>
      <c r="W89" s="818"/>
      <c r="X89" s="313"/>
      <c r="Z89" s="833"/>
      <c r="AA89" s="833"/>
      <c r="AB89" s="833"/>
      <c r="AC89" s="833"/>
      <c r="AD89" s="833"/>
      <c r="AE89" s="833"/>
      <c r="AF89" s="833"/>
      <c r="AG89" s="299"/>
      <c r="AH89" s="312"/>
      <c r="AI89" s="833"/>
      <c r="AJ89" s="833"/>
      <c r="AK89" s="833"/>
      <c r="AL89" s="833"/>
      <c r="AM89" s="833"/>
      <c r="AN89" s="833"/>
      <c r="AO89" s="833"/>
      <c r="AP89" s="299"/>
      <c r="AR89" s="833"/>
      <c r="AS89" s="833"/>
      <c r="AT89" s="833"/>
      <c r="AU89" s="833"/>
      <c r="AV89" s="833"/>
      <c r="AW89" s="833"/>
      <c r="AX89" s="833"/>
      <c r="AY89" s="209"/>
      <c r="BA89" s="818"/>
      <c r="BB89" s="818"/>
      <c r="BC89" s="818"/>
      <c r="BD89" s="818"/>
      <c r="BE89" s="818"/>
      <c r="BF89" s="818"/>
      <c r="BG89" s="818"/>
      <c r="BH89" s="12"/>
      <c r="BI89" s="12"/>
      <c r="BJ89" s="833"/>
      <c r="BK89" s="833"/>
      <c r="BL89" s="833"/>
      <c r="BM89" s="833"/>
      <c r="BN89" s="833"/>
      <c r="BO89" s="833"/>
      <c r="BP89" s="833"/>
      <c r="BQ89" s="294" t="e">
        <f>IF(BQ92=1,"&lt;===", "")</f>
        <v>#REF!</v>
      </c>
      <c r="BR89" s="209"/>
      <c r="BS89" s="209"/>
      <c r="BV89" s="851"/>
      <c r="BW89" s="851"/>
      <c r="BX89" s="851"/>
      <c r="BY89" s="851"/>
      <c r="BZ89" s="851"/>
      <c r="CA89" s="851"/>
      <c r="CB89" s="851"/>
      <c r="CC89" s="851"/>
      <c r="CD89" s="851"/>
      <c r="CE89" s="851"/>
      <c r="CF89" s="295" t="e">
        <f>IF(CF92=1,"&lt;===", "")</f>
        <v>#REF!</v>
      </c>
    </row>
    <row r="90" spans="1:84" ht="57" customHeight="1" x14ac:dyDescent="0.25">
      <c r="A90" s="205"/>
      <c r="B90" s="644" t="s">
        <v>119</v>
      </c>
      <c r="C90" s="645"/>
      <c r="D90" s="646"/>
      <c r="E90" s="27" t="str">
        <f>E63</f>
        <v/>
      </c>
      <c r="F90" s="27" t="str">
        <f t="shared" ref="F90:M90" si="8">F63</f>
        <v/>
      </c>
      <c r="G90" s="27" t="str">
        <f t="shared" si="8"/>
        <v/>
      </c>
      <c r="H90" s="27" t="str">
        <f t="shared" si="8"/>
        <v/>
      </c>
      <c r="I90" s="27" t="str">
        <f t="shared" si="8"/>
        <v/>
      </c>
      <c r="J90" s="27" t="str">
        <f t="shared" si="8"/>
        <v/>
      </c>
      <c r="K90" s="27" t="str">
        <f t="shared" si="8"/>
        <v/>
      </c>
      <c r="L90" s="27" t="str">
        <f t="shared" si="8"/>
        <v/>
      </c>
      <c r="M90" s="27" t="str">
        <f t="shared" si="8"/>
        <v/>
      </c>
      <c r="N90" s="27" t="s">
        <v>12</v>
      </c>
      <c r="Q90" s="830"/>
      <c r="R90" s="830"/>
      <c r="S90" s="12"/>
      <c r="T90" s="12"/>
      <c r="U90" s="12"/>
      <c r="V90" s="12"/>
      <c r="W90" s="298"/>
      <c r="X90" s="295"/>
      <c r="Z90" s="833"/>
      <c r="AA90" s="833"/>
      <c r="AB90" s="833"/>
      <c r="AC90" s="833"/>
      <c r="AD90" s="833"/>
      <c r="AE90" s="833"/>
      <c r="AF90" s="833"/>
      <c r="AG90" s="299"/>
      <c r="AI90" s="833"/>
      <c r="AJ90" s="833"/>
      <c r="AK90" s="833"/>
      <c r="AL90" s="833"/>
      <c r="AM90" s="833"/>
      <c r="AN90" s="833"/>
      <c r="AO90" s="833"/>
      <c r="AP90" s="299"/>
      <c r="AR90" s="833"/>
      <c r="AS90" s="833"/>
      <c r="AT90" s="833"/>
      <c r="AU90" s="833"/>
      <c r="AV90" s="833"/>
      <c r="AW90" s="833"/>
      <c r="AX90" s="833"/>
      <c r="AY90" s="209"/>
      <c r="BA90" s="833"/>
      <c r="BB90" s="833"/>
      <c r="BC90" s="833"/>
      <c r="BD90" s="833"/>
      <c r="BE90" s="833"/>
      <c r="BF90" s="833"/>
      <c r="BG90" s="833"/>
      <c r="BH90" s="295"/>
      <c r="BI90" s="12"/>
      <c r="BJ90" s="833"/>
      <c r="BK90" s="833"/>
      <c r="BL90" s="833"/>
      <c r="BM90" s="833"/>
      <c r="BN90" s="833"/>
      <c r="BO90" s="833"/>
      <c r="BP90" s="833"/>
      <c r="BQ90" s="209"/>
      <c r="BR90" s="209"/>
      <c r="BS90" s="209"/>
      <c r="BV90" s="851"/>
      <c r="BW90" s="851"/>
      <c r="BX90" s="851"/>
      <c r="BY90" s="851"/>
      <c r="BZ90" s="851"/>
      <c r="CA90" s="851"/>
      <c r="CB90" s="851"/>
      <c r="CC90" s="851"/>
      <c r="CD90" s="851"/>
      <c r="CE90" s="851"/>
    </row>
    <row r="91" spans="1:84" ht="18" customHeight="1" x14ac:dyDescent="0.25">
      <c r="A91" s="205"/>
      <c r="B91" s="844" t="s">
        <v>14</v>
      </c>
      <c r="C91" s="845"/>
      <c r="D91" s="846"/>
      <c r="E91" s="397" t="str">
        <f t="shared" ref="E91:M91" si="9">IF(ISBLANK(E64),"",E64)</f>
        <v/>
      </c>
      <c r="F91" s="397" t="str">
        <f t="shared" si="9"/>
        <v/>
      </c>
      <c r="G91" s="397" t="str">
        <f t="shared" si="9"/>
        <v/>
      </c>
      <c r="H91" s="397" t="str">
        <f t="shared" si="9"/>
        <v/>
      </c>
      <c r="I91" s="397" t="str">
        <f t="shared" si="9"/>
        <v/>
      </c>
      <c r="J91" s="397" t="str">
        <f t="shared" si="9"/>
        <v/>
      </c>
      <c r="K91" s="397" t="str">
        <f t="shared" si="9"/>
        <v/>
      </c>
      <c r="L91" s="397" t="str">
        <f t="shared" si="9"/>
        <v/>
      </c>
      <c r="M91" s="397" t="str">
        <f t="shared" si="9"/>
        <v/>
      </c>
      <c r="N91" s="69"/>
      <c r="Q91" s="12"/>
      <c r="R91" s="12"/>
      <c r="S91" s="12"/>
      <c r="T91" s="12"/>
      <c r="U91" s="12"/>
      <c r="V91" s="12"/>
      <c r="W91" s="12"/>
      <c r="X91" s="12"/>
      <c r="Z91" s="833"/>
      <c r="AA91" s="833"/>
      <c r="AB91" s="833"/>
      <c r="AC91" s="833"/>
      <c r="AD91" s="833"/>
      <c r="AE91" s="833"/>
      <c r="AF91" s="833"/>
      <c r="AR91" s="833"/>
      <c r="AS91" s="833"/>
      <c r="AT91" s="833"/>
      <c r="AU91" s="833"/>
      <c r="AV91" s="833"/>
      <c r="AW91" s="833"/>
      <c r="AX91" s="833"/>
      <c r="BA91" s="833"/>
      <c r="BB91" s="833"/>
      <c r="BC91" s="833"/>
      <c r="BD91" s="833"/>
      <c r="BE91" s="833"/>
      <c r="BF91" s="833"/>
      <c r="BG91" s="833"/>
      <c r="BH91" s="12"/>
      <c r="BI91" s="12"/>
      <c r="BJ91" s="833"/>
      <c r="BK91" s="833"/>
      <c r="BL91" s="833"/>
      <c r="BM91" s="833"/>
      <c r="BN91" s="833"/>
      <c r="BO91" s="833"/>
      <c r="BP91" s="833"/>
      <c r="BQ91" s="209"/>
      <c r="BR91" s="209"/>
      <c r="BS91" s="209"/>
      <c r="BV91" s="851"/>
      <c r="BW91" s="851"/>
      <c r="BX91" s="851"/>
      <c r="BY91" s="851"/>
      <c r="BZ91" s="851"/>
      <c r="CA91" s="851"/>
      <c r="CB91" s="851"/>
      <c r="CC91" s="851"/>
      <c r="CD91" s="851"/>
      <c r="CE91" s="851"/>
    </row>
    <row r="92" spans="1:84" ht="18" customHeight="1" x14ac:dyDescent="0.25">
      <c r="A92" s="205"/>
      <c r="B92" s="847" t="s">
        <v>11</v>
      </c>
      <c r="C92" s="848"/>
      <c r="D92" s="396"/>
      <c r="E92" s="398" t="str">
        <f t="shared" ref="E92:M92" si="10">IF(ISBLANK(E65),"",E65)</f>
        <v/>
      </c>
      <c r="F92" s="398" t="str">
        <f t="shared" si="10"/>
        <v/>
      </c>
      <c r="G92" s="398" t="str">
        <f t="shared" si="10"/>
        <v/>
      </c>
      <c r="H92" s="398" t="str">
        <f t="shared" si="10"/>
        <v/>
      </c>
      <c r="I92" s="398" t="str">
        <f t="shared" si="10"/>
        <v/>
      </c>
      <c r="J92" s="398" t="str">
        <f t="shared" si="10"/>
        <v/>
      </c>
      <c r="K92" s="398" t="str">
        <f t="shared" si="10"/>
        <v/>
      </c>
      <c r="L92" s="398" t="str">
        <f t="shared" si="10"/>
        <v/>
      </c>
      <c r="M92" s="398" t="str">
        <f t="shared" si="10"/>
        <v/>
      </c>
      <c r="N92" s="131"/>
      <c r="Q92" s="12"/>
      <c r="R92" s="12"/>
      <c r="S92" s="12"/>
      <c r="T92" s="12"/>
      <c r="U92" s="12"/>
      <c r="V92" s="12"/>
      <c r="W92" s="12"/>
      <c r="X92" s="12"/>
      <c r="AH92" s="11"/>
      <c r="AI92" s="818"/>
      <c r="AJ92" s="818"/>
      <c r="AK92" s="818"/>
      <c r="AL92" s="818"/>
      <c r="AM92" s="818"/>
      <c r="AN92" s="818"/>
      <c r="AO92" s="818"/>
      <c r="BA92" s="833"/>
      <c r="BB92" s="833"/>
      <c r="BC92" s="833"/>
      <c r="BD92" s="833"/>
      <c r="BE92" s="833"/>
      <c r="BF92" s="833"/>
      <c r="BG92" s="833"/>
      <c r="BH92" s="298"/>
      <c r="BI92" s="12"/>
      <c r="BJ92" s="833"/>
      <c r="BK92" s="833"/>
      <c r="BL92" s="833"/>
      <c r="BM92" s="833"/>
      <c r="BN92" s="833"/>
      <c r="BO92" s="833"/>
      <c r="BP92" s="833"/>
      <c r="BQ92" s="267" t="e">
        <f>IF(AND(#REF!="Yes",BJ89="",#REF!&lt;&gt;""),1, "")</f>
        <v>#REF!</v>
      </c>
      <c r="BR92" s="209"/>
      <c r="BS92" s="209"/>
      <c r="BV92" s="851"/>
      <c r="BW92" s="851"/>
      <c r="BX92" s="851"/>
      <c r="BY92" s="851"/>
      <c r="BZ92" s="851"/>
      <c r="CA92" s="851"/>
      <c r="CB92" s="851"/>
      <c r="CC92" s="851"/>
      <c r="CD92" s="851"/>
      <c r="CE92" s="851"/>
      <c r="CF92" s="298" t="e">
        <f>IF(AND(#REF!="Yes",BV89="",#REF!&lt;&gt;""),1, "")</f>
        <v>#REF!</v>
      </c>
    </row>
    <row r="93" spans="1:84" ht="80.25" customHeight="1" x14ac:dyDescent="0.25">
      <c r="A93" s="205"/>
      <c r="B93" s="687" t="s">
        <v>105</v>
      </c>
      <c r="C93" s="688"/>
      <c r="D93" s="688"/>
      <c r="E93" s="132" t="str">
        <f>IF(E$78&lt;&gt;"", E$78,"")</f>
        <v/>
      </c>
      <c r="F93" s="132" t="str">
        <f t="shared" ref="F93:N93" si="11">IF(F$78&lt;&gt;"", F$78,"")</f>
        <v/>
      </c>
      <c r="G93" s="132" t="str">
        <f t="shared" si="11"/>
        <v/>
      </c>
      <c r="H93" s="132" t="str">
        <f t="shared" si="11"/>
        <v/>
      </c>
      <c r="I93" s="132" t="str">
        <f t="shared" si="11"/>
        <v/>
      </c>
      <c r="J93" s="132" t="str">
        <f t="shared" si="11"/>
        <v/>
      </c>
      <c r="K93" s="132" t="str">
        <f t="shared" si="11"/>
        <v/>
      </c>
      <c r="L93" s="132" t="str">
        <f t="shared" si="11"/>
        <v/>
      </c>
      <c r="M93" s="132" t="str">
        <f t="shared" si="11"/>
        <v/>
      </c>
      <c r="N93" s="132" t="str">
        <f t="shared" si="11"/>
        <v/>
      </c>
      <c r="P93" s="364"/>
      <c r="Q93" s="818"/>
      <c r="R93" s="818"/>
      <c r="S93" s="818"/>
      <c r="T93" s="818"/>
      <c r="U93" s="818"/>
      <c r="V93" s="818"/>
      <c r="W93" s="818"/>
      <c r="X93" s="296"/>
      <c r="Y93" s="849"/>
      <c r="Z93" s="818"/>
      <c r="AA93" s="818"/>
      <c r="AB93" s="818"/>
      <c r="AC93" s="818"/>
      <c r="AD93" s="818"/>
      <c r="AE93" s="818"/>
      <c r="AF93" s="818"/>
      <c r="AG93" s="296"/>
      <c r="AH93" s="312"/>
      <c r="AI93" s="818"/>
      <c r="AJ93" s="818"/>
      <c r="AK93" s="818"/>
      <c r="AL93" s="818"/>
      <c r="AM93" s="818"/>
      <c r="AN93" s="818"/>
      <c r="AO93" s="818"/>
      <c r="AP93" s="296"/>
      <c r="AQ93" s="849"/>
      <c r="AR93" s="818"/>
      <c r="AS93" s="818"/>
      <c r="AT93" s="818"/>
      <c r="AU93" s="818"/>
      <c r="AV93" s="818"/>
      <c r="AW93" s="818"/>
      <c r="AX93" s="818"/>
      <c r="AY93" s="313"/>
      <c r="BA93" s="833"/>
      <c r="BB93" s="833"/>
      <c r="BC93" s="833"/>
      <c r="BD93" s="833"/>
      <c r="BE93" s="833"/>
      <c r="BF93" s="833"/>
      <c r="BG93" s="833"/>
      <c r="BH93" s="12"/>
      <c r="BI93" s="12"/>
      <c r="BJ93" s="833"/>
      <c r="BK93" s="833"/>
      <c r="BL93" s="833"/>
      <c r="BM93" s="833"/>
      <c r="BN93" s="833"/>
      <c r="BO93" s="833"/>
      <c r="BP93" s="833"/>
      <c r="BQ93" s="209"/>
      <c r="BR93" s="209"/>
      <c r="BS93" s="209"/>
      <c r="BV93" s="851"/>
      <c r="BW93" s="851"/>
      <c r="BX93" s="851"/>
      <c r="BY93" s="851"/>
      <c r="BZ93" s="851"/>
      <c r="CA93" s="851"/>
      <c r="CB93" s="851"/>
      <c r="CC93" s="851"/>
      <c r="CD93" s="851"/>
      <c r="CE93" s="851"/>
    </row>
    <row r="94" spans="1:84" ht="48.75" customHeight="1" x14ac:dyDescent="0.25">
      <c r="A94" s="205"/>
      <c r="B94" s="307"/>
      <c r="C94" s="674" t="s">
        <v>121</v>
      </c>
      <c r="D94" s="675"/>
      <c r="E94" s="167"/>
      <c r="F94" s="167"/>
      <c r="G94" s="167"/>
      <c r="H94" s="167"/>
      <c r="I94" s="167"/>
      <c r="J94" s="167"/>
      <c r="K94" s="167"/>
      <c r="L94" s="167"/>
      <c r="M94" s="167"/>
      <c r="N94" s="170" t="str">
        <f>IF(COUNT(E94:M94),SUM(E94:M94),"")</f>
        <v/>
      </c>
      <c r="O94" s="221" t="str">
        <f>IF(P94=1, "&lt;===", "")</f>
        <v/>
      </c>
      <c r="P94" s="364" t="str">
        <f>IF(OR(AND($E$93&lt;&gt;"",$E94="",'2022 Annual Report'!$D$432&lt;&gt;""),AND($F$93&lt;&gt;"",$F94="",'2022 Annual Report'!$D$432&lt;&gt;""),AND($G$93&lt;&gt;"",$G94="",'2022 Annual Report'!$D$432&lt;&gt;""),AND($H$93&lt;&gt;"",$H94="",'2022 Annual Report'!$D$432&lt;&gt;""),AND($I$93&lt;&gt;"",$I94="",'2022 Annual Report'!$D$432&lt;&gt;""),AND($J$93&lt;&gt;"",$J94="",'2022 Annual Report'!$D$432&lt;&gt;""),AND($K$93&lt;&gt;"",$K94="",'2022 Annual Report'!$D$432&lt;&gt;""),AND($L$93&lt;&gt;"",$L94="",'2022 Annual Report'!$D$432&lt;&gt;""),AND($M$93&lt;&gt;"",$M94="",'2022 Annual Report'!$D$432&lt;&gt;"")),1,"")</f>
        <v/>
      </c>
      <c r="Q94" s="818"/>
      <c r="R94" s="818"/>
      <c r="S94" s="818"/>
      <c r="T94" s="818"/>
      <c r="U94" s="818"/>
      <c r="V94" s="818"/>
      <c r="W94" s="818"/>
      <c r="X94" s="296"/>
      <c r="Y94" s="849"/>
      <c r="Z94" s="818"/>
      <c r="AA94" s="818"/>
      <c r="AB94" s="818"/>
      <c r="AC94" s="818"/>
      <c r="AD94" s="818"/>
      <c r="AE94" s="818"/>
      <c r="AF94" s="818"/>
      <c r="AG94" s="296"/>
      <c r="AH94" s="312"/>
      <c r="AI94" s="818"/>
      <c r="AJ94" s="818"/>
      <c r="AK94" s="818"/>
      <c r="AL94" s="818"/>
      <c r="AM94" s="818"/>
      <c r="AN94" s="818"/>
      <c r="AO94" s="818"/>
      <c r="AP94" s="296"/>
      <c r="AQ94" s="849"/>
      <c r="AR94" s="818"/>
      <c r="AS94" s="818"/>
      <c r="AT94" s="818"/>
      <c r="AU94" s="818"/>
      <c r="AV94" s="818"/>
      <c r="AW94" s="818"/>
      <c r="AX94" s="818"/>
      <c r="AY94" s="313"/>
      <c r="BA94" s="833"/>
      <c r="BB94" s="833"/>
      <c r="BC94" s="833"/>
      <c r="BD94" s="833"/>
      <c r="BE94" s="833"/>
      <c r="BF94" s="833"/>
      <c r="BG94" s="833"/>
      <c r="BH94" s="12"/>
      <c r="BI94" s="12"/>
      <c r="BJ94" s="833"/>
      <c r="BK94" s="833"/>
      <c r="BL94" s="833"/>
      <c r="BM94" s="833"/>
      <c r="BN94" s="833"/>
      <c r="BO94" s="833"/>
      <c r="BP94" s="833"/>
      <c r="BQ94" s="209"/>
      <c r="BR94" s="209"/>
      <c r="BS94" s="209"/>
      <c r="BV94" s="851"/>
      <c r="BW94" s="851"/>
      <c r="BX94" s="851"/>
      <c r="BY94" s="851"/>
      <c r="BZ94" s="851"/>
      <c r="CA94" s="851"/>
      <c r="CB94" s="851"/>
      <c r="CC94" s="851"/>
      <c r="CD94" s="851"/>
      <c r="CE94" s="851"/>
    </row>
    <row r="95" spans="1:84" ht="54" customHeight="1" x14ac:dyDescent="0.25">
      <c r="A95" s="205"/>
      <c r="B95" s="241"/>
      <c r="C95" s="682" t="s">
        <v>123</v>
      </c>
      <c r="D95" s="683"/>
      <c r="E95" s="242"/>
      <c r="F95" s="242"/>
      <c r="G95" s="242"/>
      <c r="H95" s="242"/>
      <c r="I95" s="242"/>
      <c r="J95" s="242"/>
      <c r="K95" s="242"/>
      <c r="L95" s="242"/>
      <c r="M95" s="242"/>
      <c r="N95" s="243" t="str">
        <f>IF(COUNT(E95:M95),SUM(E95:M95),"")</f>
        <v/>
      </c>
      <c r="O95" s="221" t="str">
        <f>IF(P95=1, "&lt;===", "")</f>
        <v/>
      </c>
      <c r="P95" s="364" t="str">
        <f>IF(OR(AND($E$93&lt;&gt;"",$E95="",'2022 Annual Report'!$D$432&lt;&gt;""),AND($F$93&lt;&gt;"",$F95="",'2022 Annual Report'!$D$432&lt;&gt;""),AND($G$93&lt;&gt;"",$G95="",'2022 Annual Report'!$D$432&lt;&gt;""),AND($H$93&lt;&gt;"",$H95="",'2022 Annual Report'!$D$432&lt;&gt;""),AND($I$93&lt;&gt;"",$I95="",'2022 Annual Report'!$D$432&lt;&gt;""),AND($J$93&lt;&gt;"",$J95="",'2022 Annual Report'!$D$432&lt;&gt;""),AND($K$93&lt;&gt;"",$K95="",'2022 Annual Report'!$D$432&lt;&gt;""),AND($L$93&lt;&gt;"",$L95="",'2022 Annual Report'!$D$432&lt;&gt;""),AND($M$93&lt;&gt;"",$M95="",'2022 Annual Report'!$D$432&lt;&gt;"")),1,"")</f>
        <v/>
      </c>
      <c r="Q95" s="830"/>
      <c r="R95" s="830"/>
      <c r="S95" s="12"/>
      <c r="T95" s="12"/>
      <c r="U95" s="12"/>
      <c r="V95" s="12"/>
      <c r="W95" s="298"/>
      <c r="X95" s="295"/>
      <c r="Z95" s="831"/>
      <c r="AA95" s="831"/>
      <c r="AB95" s="5"/>
      <c r="AC95" s="5"/>
      <c r="AD95" s="5"/>
      <c r="AE95" s="5"/>
      <c r="AF95" s="298"/>
      <c r="AG95" s="295"/>
      <c r="AI95" s="831"/>
      <c r="AJ95" s="831"/>
      <c r="AO95" s="298"/>
      <c r="AP95" s="295"/>
      <c r="AR95" s="831"/>
      <c r="AS95" s="831"/>
      <c r="AX95" s="298"/>
      <c r="AY95" s="295"/>
      <c r="BA95" s="833"/>
      <c r="BB95" s="833"/>
      <c r="BC95" s="833"/>
      <c r="BD95" s="833"/>
      <c r="BE95" s="833"/>
      <c r="BF95" s="833"/>
      <c r="BG95" s="833"/>
      <c r="BH95" s="12"/>
      <c r="BI95" s="12"/>
      <c r="BJ95" s="833"/>
      <c r="BK95" s="833"/>
      <c r="BL95" s="833"/>
      <c r="BM95" s="833"/>
      <c r="BN95" s="833"/>
      <c r="BO95" s="833"/>
      <c r="BP95" s="833"/>
      <c r="BQ95" s="209"/>
      <c r="BR95" s="209"/>
      <c r="BS95" s="209"/>
    </row>
    <row r="96" spans="1:84" ht="52.5" customHeight="1" x14ac:dyDescent="0.25">
      <c r="A96" s="205"/>
      <c r="B96" s="309"/>
      <c r="C96" s="653" t="s">
        <v>122</v>
      </c>
      <c r="D96" s="654"/>
      <c r="E96" s="236"/>
      <c r="F96" s="236"/>
      <c r="G96" s="236"/>
      <c r="H96" s="236"/>
      <c r="I96" s="236"/>
      <c r="J96" s="236"/>
      <c r="K96" s="236"/>
      <c r="L96" s="236"/>
      <c r="M96" s="236"/>
      <c r="N96" s="237" t="str">
        <f>IF(COUNT(E96:M96),SUM(E96:M96),"")</f>
        <v/>
      </c>
      <c r="O96" s="221" t="str">
        <f>IF(P96=1, "&lt;===", "")</f>
        <v/>
      </c>
      <c r="P96" s="364" t="str">
        <f>IF(OR(AND($E$93&lt;&gt;"",$E96="",'2022 Annual Report'!$D$432&lt;&gt;""),AND($F$93&lt;&gt;"",$F96="",'2022 Annual Report'!$D$432&lt;&gt;""),AND($G$93&lt;&gt;"",$G96="",'2022 Annual Report'!$D$432&lt;&gt;""),AND($H$93&lt;&gt;"",$H96="",'2022 Annual Report'!$D$432&lt;&gt;""),AND($I$93&lt;&gt;"",$I96="",'2022 Annual Report'!$D$432&lt;&gt;""),AND($J$93&lt;&gt;"",$J96="",'2022 Annual Report'!$D$432&lt;&gt;""),AND($K$93&lt;&gt;"",$K96="",'2022 Annual Report'!$D$432&lt;&gt;""),AND($L$93&lt;&gt;"",$L96="",'2022 Annual Report'!$D$432&lt;&gt;""),AND($M$93&lt;&gt;"",$M96="",'2022 Annual Report'!$D$432&lt;&gt;"")),1,"")</f>
        <v/>
      </c>
      <c r="Q96" s="12"/>
      <c r="R96" s="12"/>
      <c r="S96" s="12"/>
      <c r="T96" s="12"/>
      <c r="U96" s="12"/>
      <c r="V96" s="12"/>
      <c r="W96" s="12"/>
      <c r="X96" s="12"/>
      <c r="Z96" s="5"/>
      <c r="AA96" s="5"/>
      <c r="AB96" s="5"/>
      <c r="AC96" s="5"/>
      <c r="AD96" s="5"/>
      <c r="AE96" s="5"/>
      <c r="AF96" s="5"/>
      <c r="AG96" s="5"/>
      <c r="BA96" s="833"/>
      <c r="BB96" s="833"/>
      <c r="BC96" s="833"/>
      <c r="BD96" s="833"/>
      <c r="BE96" s="833"/>
      <c r="BF96" s="833"/>
      <c r="BG96" s="833"/>
      <c r="BH96" s="12"/>
      <c r="BI96" s="12"/>
      <c r="BJ96" s="833"/>
      <c r="BK96" s="833"/>
      <c r="BL96" s="833"/>
      <c r="BM96" s="833"/>
      <c r="BN96" s="833"/>
      <c r="BO96" s="833"/>
      <c r="BP96" s="833"/>
      <c r="BQ96" s="209"/>
      <c r="BR96" s="209"/>
      <c r="BS96" s="209"/>
      <c r="BU96" s="306" t="e">
        <f>IF(#REF!&lt;&gt;"","12)","")</f>
        <v>#REF!</v>
      </c>
      <c r="BV96" s="852" t="e">
        <f>IF(#REF!&lt;&gt;"","After analyzing the preceding areas, what is the program's action plan for the next year?","")</f>
        <v>#REF!</v>
      </c>
      <c r="BW96" s="852"/>
      <c r="BX96" s="852"/>
      <c r="BY96" s="852"/>
      <c r="BZ96" s="852"/>
      <c r="CA96" s="852"/>
      <c r="CB96" s="852"/>
      <c r="CC96" s="852"/>
      <c r="CD96" s="852"/>
      <c r="CE96" s="852"/>
    </row>
    <row r="97" spans="1:84" ht="33" customHeight="1" x14ac:dyDescent="0.25">
      <c r="A97" s="205"/>
      <c r="B97" s="582" t="str">
        <f>"Satellite Total Passing in " &amp;D4</f>
        <v>Satellite Total Passing in 2022</v>
      </c>
      <c r="C97" s="583"/>
      <c r="D97" s="26"/>
      <c r="E97" s="75" t="str">
        <f>IF(AND(E$93&lt;&gt;"",E$94&lt;&gt;"",E$95&lt;&gt;"",E$96&lt;&gt;""),E$96,"")</f>
        <v/>
      </c>
      <c r="F97" s="75" t="str">
        <f t="shared" ref="F97:M97" si="12">IF(AND(F$93&lt;&gt;"",F$94&lt;&gt;"",F$95&lt;&gt;"",F$96&lt;&gt;""),F$96,"")</f>
        <v/>
      </c>
      <c r="G97" s="75" t="str">
        <f t="shared" si="12"/>
        <v/>
      </c>
      <c r="H97" s="75" t="str">
        <f t="shared" si="12"/>
        <v/>
      </c>
      <c r="I97" s="75" t="str">
        <f t="shared" si="12"/>
        <v/>
      </c>
      <c r="J97" s="75" t="str">
        <f t="shared" si="12"/>
        <v/>
      </c>
      <c r="K97" s="75" t="str">
        <f t="shared" si="12"/>
        <v/>
      </c>
      <c r="L97" s="75" t="str">
        <f t="shared" si="12"/>
        <v/>
      </c>
      <c r="M97" s="75" t="str">
        <f t="shared" si="12"/>
        <v/>
      </c>
      <c r="N97" s="75" t="str">
        <f>IF(COUNT(E97:M97),SUM(E97:M97),"")</f>
        <v/>
      </c>
      <c r="Q97" s="818"/>
      <c r="R97" s="818"/>
      <c r="S97" s="818"/>
      <c r="T97" s="818"/>
      <c r="U97" s="818"/>
      <c r="V97" s="818"/>
      <c r="W97" s="818"/>
      <c r="X97" s="296"/>
      <c r="Y97" s="312"/>
      <c r="Z97" s="818"/>
      <c r="AA97" s="818"/>
      <c r="AB97" s="818"/>
      <c r="AC97" s="818"/>
      <c r="AD97" s="818"/>
      <c r="AE97" s="818"/>
      <c r="AF97" s="818"/>
      <c r="AG97" s="296"/>
      <c r="AI97" s="818"/>
      <c r="AJ97" s="818"/>
      <c r="AK97" s="818"/>
      <c r="AL97" s="818"/>
      <c r="AM97" s="818"/>
      <c r="AN97" s="818"/>
      <c r="AO97" s="818"/>
      <c r="AP97" s="296"/>
      <c r="AR97" s="818"/>
      <c r="AS97" s="818"/>
      <c r="AT97" s="818"/>
      <c r="AU97" s="818"/>
      <c r="AV97" s="818"/>
      <c r="AW97" s="818"/>
      <c r="AX97" s="818"/>
      <c r="AY97" s="296"/>
      <c r="BA97" s="833"/>
      <c r="BB97" s="833"/>
      <c r="BC97" s="833"/>
      <c r="BD97" s="833"/>
      <c r="BE97" s="833"/>
      <c r="BF97" s="833"/>
      <c r="BG97" s="833"/>
      <c r="BH97" s="12"/>
      <c r="BI97" s="12"/>
      <c r="BJ97" s="833"/>
      <c r="BK97" s="833"/>
      <c r="BL97" s="833"/>
      <c r="BM97" s="833"/>
      <c r="BN97" s="833"/>
      <c r="BO97" s="833"/>
      <c r="BP97" s="833"/>
      <c r="BQ97" s="209"/>
      <c r="BR97" s="209"/>
      <c r="BS97" s="209"/>
      <c r="BV97" s="833"/>
      <c r="BW97" s="833"/>
      <c r="BX97" s="833"/>
      <c r="BY97" s="833"/>
      <c r="BZ97" s="833"/>
      <c r="CA97" s="833"/>
      <c r="CB97" s="833"/>
      <c r="CC97" s="833"/>
      <c r="CD97" s="833"/>
      <c r="CE97" s="833"/>
      <c r="CF97" s="295" t="e">
        <f>IF(CF98=1,"&lt;===", "")</f>
        <v>#REF!</v>
      </c>
    </row>
    <row r="98" spans="1:84" ht="45.75" customHeight="1" x14ac:dyDescent="0.25">
      <c r="A98" s="205"/>
      <c r="B98" s="595" t="s">
        <v>104</v>
      </c>
      <c r="C98" s="596"/>
      <c r="D98" s="597"/>
      <c r="E98" s="190" t="str">
        <f>IF(E$93="","",IFERROR(E$97/E$94,0))</f>
        <v/>
      </c>
      <c r="F98" s="190" t="str">
        <f t="shared" ref="F98:M98" si="13">IF(F$93="","",IFERROR(F$97/F$94,0))</f>
        <v/>
      </c>
      <c r="G98" s="190" t="str">
        <f t="shared" si="13"/>
        <v/>
      </c>
      <c r="H98" s="190" t="str">
        <f t="shared" si="13"/>
        <v/>
      </c>
      <c r="I98" s="190" t="str">
        <f t="shared" si="13"/>
        <v/>
      </c>
      <c r="J98" s="190" t="str">
        <f t="shared" si="13"/>
        <v/>
      </c>
      <c r="K98" s="190" t="str">
        <f t="shared" si="13"/>
        <v/>
      </c>
      <c r="L98" s="190" t="str">
        <f t="shared" si="13"/>
        <v/>
      </c>
      <c r="M98" s="190" t="str">
        <f t="shared" si="13"/>
        <v/>
      </c>
      <c r="N98" s="191">
        <f>IF(AND(N66&lt;&gt;"",N94&lt;&gt;"",N97&lt;&gt;""),N97/N94,0)</f>
        <v>0</v>
      </c>
      <c r="O98" s="226"/>
      <c r="P98" s="364"/>
      <c r="Q98" s="833"/>
      <c r="R98" s="833"/>
      <c r="S98" s="833"/>
      <c r="T98" s="833"/>
      <c r="U98" s="833"/>
      <c r="V98" s="833"/>
      <c r="W98" s="833"/>
      <c r="X98" s="263"/>
      <c r="Z98" s="833"/>
      <c r="AA98" s="833"/>
      <c r="AB98" s="833"/>
      <c r="AC98" s="833"/>
      <c r="AD98" s="833"/>
      <c r="AE98" s="833"/>
      <c r="AF98" s="833"/>
      <c r="AG98" s="263"/>
      <c r="AI98" s="833"/>
      <c r="AJ98" s="833"/>
      <c r="AK98" s="833"/>
      <c r="AL98" s="833"/>
      <c r="AM98" s="833"/>
      <c r="AN98" s="833"/>
      <c r="AO98" s="833"/>
      <c r="AP98" s="294"/>
      <c r="AR98" s="833"/>
      <c r="AS98" s="833"/>
      <c r="AT98" s="833"/>
      <c r="AU98" s="833"/>
      <c r="AV98" s="833"/>
      <c r="AW98" s="833"/>
      <c r="AX98" s="833"/>
      <c r="AY98" s="294"/>
      <c r="BA98" s="833"/>
      <c r="BB98" s="833"/>
      <c r="BC98" s="833"/>
      <c r="BD98" s="833"/>
      <c r="BE98" s="833"/>
      <c r="BF98" s="833"/>
      <c r="BG98" s="833"/>
      <c r="BH98" s="12"/>
      <c r="BI98" s="312"/>
      <c r="BJ98" s="833"/>
      <c r="BK98" s="833"/>
      <c r="BL98" s="833"/>
      <c r="BM98" s="833"/>
      <c r="BN98" s="833"/>
      <c r="BO98" s="833"/>
      <c r="BP98" s="833"/>
      <c r="BQ98" s="209"/>
      <c r="BR98" s="209"/>
      <c r="BS98" s="209"/>
      <c r="BV98" s="833"/>
      <c r="BW98" s="833"/>
      <c r="BX98" s="833"/>
      <c r="BY98" s="833"/>
      <c r="BZ98" s="833"/>
      <c r="CA98" s="833"/>
      <c r="CB98" s="833"/>
      <c r="CC98" s="833"/>
      <c r="CD98" s="833"/>
      <c r="CE98" s="833"/>
      <c r="CF98" s="298" t="e">
        <f>IF(AND(#REF!&lt;&gt;"",BV97="",#REF!&lt;&gt;""),1, "")</f>
        <v>#REF!</v>
      </c>
    </row>
    <row r="99" spans="1:84" ht="91.5" customHeight="1" x14ac:dyDescent="0.25">
      <c r="A99" s="205"/>
      <c r="B99" s="836" t="str">
        <f>IF(OR(AND(N97&lt;&gt;"",N98&lt;0.7,N93&lt;&gt;"",N95&lt;&gt;"",N94&lt;&gt;"",N96&lt;&gt;"",N98&lt;&gt;"",B100=""),AND(N98&gt;=0.7,N94&lt;&gt;"",N95&lt;&gt;"",N96&lt;&gt;"",N97&lt;&gt;"",N98&lt;=100%,B100="")),"This table is finished.  
The overall results for this outcome are calculated on the "&amp;D4&amp;" Annual Report tab.  
Please complete the next table below.","")</f>
        <v/>
      </c>
      <c r="C99" s="837"/>
      <c r="D99" s="837"/>
      <c r="E99" s="837"/>
      <c r="F99" s="837"/>
      <c r="G99" s="837"/>
      <c r="H99" s="837"/>
      <c r="I99" s="837"/>
      <c r="J99" s="837"/>
      <c r="K99" s="837"/>
      <c r="L99" s="837"/>
      <c r="M99" s="837"/>
      <c r="N99" s="838"/>
      <c r="Q99" s="833"/>
      <c r="R99" s="833"/>
      <c r="S99" s="833"/>
      <c r="T99" s="833"/>
      <c r="U99" s="833"/>
      <c r="V99" s="833"/>
      <c r="W99" s="833"/>
      <c r="X99" s="269"/>
      <c r="Z99" s="833"/>
      <c r="AA99" s="833"/>
      <c r="AB99" s="833"/>
      <c r="AC99" s="833"/>
      <c r="AD99" s="833"/>
      <c r="AE99" s="833"/>
      <c r="AF99" s="833"/>
      <c r="AG99" s="269"/>
      <c r="AI99" s="833"/>
      <c r="AJ99" s="833"/>
      <c r="AK99" s="833"/>
      <c r="AL99" s="833"/>
      <c r="AM99" s="833"/>
      <c r="AN99" s="833"/>
      <c r="AO99" s="833"/>
      <c r="AP99" s="267"/>
      <c r="AR99" s="833"/>
      <c r="AS99" s="833"/>
      <c r="AT99" s="833"/>
      <c r="AU99" s="833"/>
      <c r="AV99" s="833"/>
      <c r="AW99" s="833"/>
      <c r="AX99" s="833"/>
      <c r="AY99" s="267"/>
      <c r="BA99" s="833"/>
      <c r="BB99" s="833"/>
      <c r="BC99" s="833"/>
      <c r="BD99" s="833"/>
      <c r="BE99" s="833"/>
      <c r="BF99" s="833"/>
      <c r="BG99" s="833"/>
      <c r="BJ99" s="833"/>
      <c r="BK99" s="833"/>
      <c r="BL99" s="833"/>
      <c r="BM99" s="833"/>
      <c r="BN99" s="833"/>
      <c r="BO99" s="833"/>
      <c r="BP99" s="833"/>
      <c r="BQ99" s="209"/>
      <c r="BR99" s="209"/>
      <c r="BS99" s="209"/>
      <c r="BV99" s="833"/>
      <c r="BW99" s="833"/>
      <c r="BX99" s="833"/>
      <c r="BY99" s="833"/>
      <c r="BZ99" s="833"/>
      <c r="CA99" s="833"/>
      <c r="CB99" s="833"/>
      <c r="CC99" s="833"/>
      <c r="CD99" s="833"/>
      <c r="CE99" s="833"/>
    </row>
    <row r="100" spans="1:84" ht="52.5" customHeight="1" x14ac:dyDescent="0.25">
      <c r="A100" s="205"/>
      <c r="B100" s="632" t="str">
        <f>IF(OR(AND(E95&gt;E96,E95&lt;&gt;"",E96&lt;&gt;""),AND(F95&gt;F96,F95&lt;&gt;"",F96&lt;&gt;""),AND(G95&gt;G96,G95&lt;&gt;"",G96&lt;&gt;""),AND(H95&gt;H96,H95&lt;&gt;"",H96&lt;&gt;""),AND(I95&gt;I96,I95&lt;&gt;"",I96&lt;&gt;""),AND(J95&gt;J96,J95&lt;&gt;"",J96&lt;&gt;""),AND(K95&gt;K96,K95&lt;&gt;"",K96&lt;&gt;""),AND(L95&gt;L96,L95&lt;&gt;"",L96&lt;&gt;""),AND(M95&gt;M96,M95&lt;&gt;"",M96&lt;&gt;"")),"Error has occurred; The 3rd attempt cumulative pass rate number cannot be less than the first attempt number",IF(OR(AND(E93&lt;E94,E95&lt;&gt;"",E96&lt;&gt;""),AND(F93&lt;F94,F95&lt;&gt;"",F96&lt;&gt;""),AND(G93&lt;G94,G95&lt;&gt;"",G96&lt;&gt;""),AND(H93&lt;H94,H95&lt;&gt;"",H96&lt;&gt;""),AND(I93&lt;I94,I95&lt;&gt;"",I96&lt;&gt;""),AND(J93&lt;J94,J95&lt;&gt;"",J96&lt;&gt;""),AND(K93&lt;K94,K95&lt;&gt;"",K96&lt;&gt;""),AND(L93&lt;L94,L95&lt;&gt;"",L96&lt;&gt;""),AND(M93&lt;M94,M95&lt;&gt;"",M96&lt;&gt;"")),"Error has occurred; The number of graduates attempting 
cannot be more than the total graduates in the reporting year",IF(OR(AND(E96&gt;E94,E95&lt;&gt;"",E96&lt;&gt;""),AND(F96&gt;F94,F95&lt;&gt;"",F96&lt;&gt;""),AND(G96&gt;G94,G95&lt;&gt;"",G96&lt;&gt;""),AND(H96&gt;H94,H95&lt;&gt;"",H96&lt;&gt;""),AND(I96&gt;I94,I95&lt;&gt;"",I96&lt;&gt;""),AND(J96&gt;J94,J95&lt;&gt;"",J96&lt;&gt;""),AND(K96&gt;K94,K95&lt;&gt;"",K96&lt;&gt;""),AND(L96&gt;L94,L95&lt;&gt;"",L96&lt;&gt;""),AND(M96&gt;M94,M95&lt;&gt;"",M96&lt;&gt;"")),"Error has occurred; The 3rd attempt cumulative pass rate number cannot be more than 
the number of graduates attempting the certification examination or state license",IF(OR(AND(E93&lt;&gt;"",E97="",E98=0),AND(F93&lt;&gt;"",F97="",F98=0),AND(G93&lt;&gt;"",G97="",G98=0),AND(H93&lt;&gt;"",H97="",H98=0),AND(I93&lt;&gt;"",I97="",I98=0),AND(J93&lt;&gt;"",J97="",J98=0),AND(K93&lt;&gt;"",K97="",K98=0),AND(L93&lt;&gt;"",L97="",L98=0),AND(M93&lt;&gt;"",M97="",M98=0)),"Please Note: An empty or blank cell is not the same as a zero.",""))))</f>
        <v/>
      </c>
      <c r="C100" s="632"/>
      <c r="D100" s="632"/>
      <c r="E100" s="632"/>
      <c r="F100" s="632"/>
      <c r="G100" s="632"/>
      <c r="H100" s="632"/>
      <c r="I100" s="632"/>
      <c r="J100" s="632"/>
      <c r="K100" s="632"/>
      <c r="L100" s="632"/>
      <c r="M100" s="632"/>
      <c r="N100" s="632"/>
      <c r="P100" s="386"/>
      <c r="Q100" s="833"/>
      <c r="R100" s="833"/>
      <c r="S100" s="833"/>
      <c r="T100" s="833"/>
      <c r="U100" s="833"/>
      <c r="V100" s="833"/>
      <c r="W100" s="833"/>
      <c r="X100" s="299"/>
      <c r="Z100" s="833"/>
      <c r="AA100" s="833"/>
      <c r="AB100" s="833"/>
      <c r="AC100" s="833"/>
      <c r="AD100" s="833"/>
      <c r="AE100" s="833"/>
      <c r="AF100" s="833"/>
      <c r="AG100" s="299"/>
      <c r="AI100" s="833"/>
      <c r="AJ100" s="833"/>
      <c r="AK100" s="833"/>
      <c r="AL100" s="833"/>
      <c r="AM100" s="833"/>
      <c r="AN100" s="833"/>
      <c r="AO100" s="833"/>
      <c r="AP100" s="209"/>
      <c r="AR100" s="833"/>
      <c r="AS100" s="833"/>
      <c r="AT100" s="833"/>
      <c r="AU100" s="833"/>
      <c r="AV100" s="833"/>
      <c r="AW100" s="833"/>
      <c r="AX100" s="833"/>
      <c r="AY100" s="209"/>
      <c r="BA100" s="833"/>
      <c r="BB100" s="833"/>
      <c r="BC100" s="833"/>
      <c r="BD100" s="833"/>
      <c r="BE100" s="833"/>
      <c r="BF100" s="833"/>
      <c r="BG100" s="833"/>
      <c r="BJ100" s="833"/>
      <c r="BK100" s="833"/>
      <c r="BL100" s="833"/>
      <c r="BM100" s="833"/>
      <c r="BN100" s="833"/>
      <c r="BO100" s="833"/>
      <c r="BP100" s="833"/>
      <c r="BQ100" s="209"/>
      <c r="BR100" s="209"/>
      <c r="BS100" s="209"/>
      <c r="BV100" s="833"/>
      <c r="BW100" s="833"/>
      <c r="BX100" s="833"/>
      <c r="BY100" s="833"/>
      <c r="BZ100" s="833"/>
      <c r="CA100" s="833"/>
      <c r="CB100" s="833"/>
      <c r="CC100" s="833"/>
      <c r="CD100" s="833"/>
      <c r="CE100" s="833"/>
    </row>
    <row r="101" spans="1:84" x14ac:dyDescent="0.25">
      <c r="A101" s="206"/>
      <c r="Q101" s="833"/>
      <c r="R101" s="833"/>
      <c r="S101" s="833"/>
      <c r="T101" s="833"/>
      <c r="U101" s="833"/>
      <c r="V101" s="833"/>
      <c r="W101" s="833"/>
      <c r="Z101" s="833"/>
      <c r="AA101" s="833"/>
      <c r="AB101" s="833"/>
      <c r="AC101" s="833"/>
      <c r="AD101" s="833"/>
      <c r="AE101" s="833"/>
      <c r="AF101" s="833"/>
      <c r="AI101" s="833"/>
      <c r="AJ101" s="833"/>
      <c r="AK101" s="833"/>
      <c r="AL101" s="833"/>
      <c r="AM101" s="833"/>
      <c r="AN101" s="833"/>
      <c r="AO101" s="833"/>
      <c r="AR101" s="833"/>
      <c r="AS101" s="833"/>
      <c r="AT101" s="833"/>
      <c r="AU101" s="833"/>
      <c r="AV101" s="833"/>
      <c r="AW101" s="833"/>
      <c r="AX101" s="833"/>
      <c r="BA101" s="833"/>
      <c r="BB101" s="833"/>
      <c r="BC101" s="833"/>
      <c r="BD101" s="833"/>
      <c r="BE101" s="833"/>
      <c r="BF101" s="833"/>
      <c r="BG101" s="833"/>
      <c r="BJ101" s="833"/>
      <c r="BK101" s="833"/>
      <c r="BL101" s="833"/>
      <c r="BM101" s="833"/>
      <c r="BN101" s="833"/>
      <c r="BO101" s="833"/>
      <c r="BP101" s="833"/>
    </row>
    <row r="102" spans="1:84" ht="101.25" customHeight="1" x14ac:dyDescent="0.25">
      <c r="A102" s="205"/>
      <c r="B102" s="600" t="s">
        <v>120</v>
      </c>
      <c r="C102" s="601"/>
      <c r="D102" s="601"/>
      <c r="E102" s="601"/>
      <c r="F102" s="601"/>
      <c r="G102" s="601"/>
      <c r="H102" s="601"/>
      <c r="I102" s="601"/>
      <c r="J102" s="601"/>
      <c r="K102" s="601"/>
      <c r="L102" s="601"/>
      <c r="M102" s="601"/>
      <c r="N102" s="602"/>
      <c r="Q102" s="833"/>
      <c r="R102" s="833"/>
      <c r="S102" s="833"/>
      <c r="T102" s="833"/>
      <c r="U102" s="833"/>
      <c r="V102" s="833"/>
      <c r="W102" s="833"/>
      <c r="Z102" s="833"/>
      <c r="AA102" s="833"/>
      <c r="AB102" s="833"/>
      <c r="AC102" s="833"/>
      <c r="AD102" s="833"/>
      <c r="AE102" s="833"/>
      <c r="AF102" s="833"/>
      <c r="AI102" s="833"/>
      <c r="AJ102" s="833"/>
      <c r="AK102" s="833"/>
      <c r="AL102" s="833"/>
      <c r="AM102" s="833"/>
      <c r="AN102" s="833"/>
      <c r="AO102" s="833"/>
      <c r="AR102" s="833"/>
      <c r="AS102" s="833"/>
      <c r="AT102" s="833"/>
      <c r="AU102" s="833"/>
      <c r="AV102" s="833"/>
      <c r="AW102" s="833"/>
      <c r="AX102" s="833"/>
      <c r="BA102" s="833"/>
      <c r="BB102" s="833"/>
      <c r="BC102" s="833"/>
      <c r="BD102" s="833"/>
      <c r="BE102" s="833"/>
      <c r="BF102" s="833"/>
      <c r="BG102" s="833"/>
      <c r="BJ102" s="833"/>
      <c r="BK102" s="833"/>
      <c r="BL102" s="833"/>
      <c r="BM102" s="833"/>
      <c r="BN102" s="833"/>
      <c r="BO102" s="833"/>
      <c r="BP102" s="833"/>
    </row>
    <row r="103" spans="1:84" x14ac:dyDescent="0.25">
      <c r="A103" s="205"/>
      <c r="B103" s="585"/>
      <c r="C103" s="585"/>
    </row>
    <row r="104" spans="1:84" x14ac:dyDescent="0.25">
      <c r="A104" s="205"/>
      <c r="B104" s="585"/>
      <c r="C104" s="585"/>
    </row>
    <row r="105" spans="1:84" ht="15" customHeight="1" x14ac:dyDescent="0.25">
      <c r="Q105" s="200"/>
      <c r="BM105" s="853" t="str">
        <f>IF(P109&lt;&gt;"", "&lt;== Once the analysis and action plan questions 
        have been completed, CLICK HERE to proceed
        to the next section or scroll back", "")</f>
        <v/>
      </c>
      <c r="BN105" s="853"/>
      <c r="BO105" s="853"/>
      <c r="BP105" s="853"/>
      <c r="BQ105" s="853"/>
    </row>
    <row r="106" spans="1:84" ht="15" customHeight="1" x14ac:dyDescent="0.25">
      <c r="A106" s="205"/>
      <c r="Q106" s="200"/>
      <c r="BM106" s="853"/>
      <c r="BN106" s="853"/>
      <c r="BO106" s="853"/>
      <c r="BP106" s="853"/>
      <c r="BQ106" s="853"/>
      <c r="BR106" s="234"/>
      <c r="CB106" s="235"/>
      <c r="CC106" s="235"/>
      <c r="CD106" s="235"/>
      <c r="CE106" s="235"/>
      <c r="CF106" s="235"/>
    </row>
    <row r="107" spans="1:84" ht="15" customHeight="1" x14ac:dyDescent="0.25">
      <c r="A107" s="205"/>
      <c r="B107" s="19"/>
      <c r="C107" s="20">
        <f>$D$17</f>
        <v>0</v>
      </c>
      <c r="D107" s="618">
        <f>$D$19</f>
        <v>0</v>
      </c>
      <c r="E107" s="618"/>
      <c r="F107" s="618"/>
      <c r="G107" s="618"/>
      <c r="H107" s="618"/>
      <c r="I107" s="618"/>
      <c r="J107" s="618"/>
      <c r="K107" s="618"/>
      <c r="P107" s="669" t="str">
        <f>IF(P109&lt;&gt;"",$D$17,"")</f>
        <v/>
      </c>
      <c r="Q107" s="669"/>
      <c r="R107" s="643" t="str">
        <f>IF(P109&lt;&gt;"",$D$19,"")</f>
        <v/>
      </c>
      <c r="S107" s="643"/>
      <c r="T107" s="643"/>
      <c r="U107" s="643"/>
      <c r="V107" s="643"/>
      <c r="W107" s="643"/>
      <c r="X107" s="643"/>
      <c r="Y107" s="643"/>
      <c r="Z107" s="643"/>
      <c r="AA107" s="643"/>
      <c r="AI107" s="669" t="str">
        <f>IF(P109&lt;&gt;"",$D$17,"")</f>
        <v/>
      </c>
      <c r="AJ107" s="669"/>
      <c r="AK107" s="643" t="str">
        <f>IF(P109&lt;&gt;"",$D$19,"")</f>
        <v/>
      </c>
      <c r="AL107" s="643"/>
      <c r="AM107" s="643"/>
      <c r="AN107" s="643"/>
      <c r="AO107" s="643"/>
      <c r="AP107" s="643"/>
      <c r="AQ107" s="643"/>
      <c r="AR107" s="643"/>
      <c r="AS107" s="643"/>
      <c r="AT107" s="643"/>
      <c r="BA107" s="669" t="str">
        <f>IF(P109&lt;&gt;"",$D$17,"")</f>
        <v/>
      </c>
      <c r="BB107" s="669"/>
      <c r="BC107" s="643" t="str">
        <f>IF(P109&lt;&gt;"",$D$19,"")</f>
        <v/>
      </c>
      <c r="BD107" s="643"/>
      <c r="BE107" s="643"/>
      <c r="BF107" s="643"/>
      <c r="BG107" s="643"/>
      <c r="BH107" s="643"/>
      <c r="BI107" s="643"/>
      <c r="BJ107" s="643"/>
      <c r="BK107" s="643"/>
      <c r="BL107" s="643"/>
      <c r="BM107" s="853"/>
      <c r="BN107" s="853"/>
      <c r="BO107" s="853"/>
      <c r="BP107" s="853"/>
      <c r="BQ107" s="853"/>
      <c r="BT107" s="669"/>
      <c r="BU107" s="669"/>
      <c r="BV107" s="643"/>
      <c r="BW107" s="643"/>
      <c r="BX107" s="643"/>
      <c r="BY107" s="643"/>
      <c r="BZ107" s="643"/>
      <c r="CA107" s="235"/>
      <c r="CB107" s="235"/>
      <c r="CC107" s="235"/>
      <c r="CD107" s="235"/>
      <c r="CE107" s="235"/>
      <c r="CF107" s="12"/>
    </row>
    <row r="108" spans="1:84" x14ac:dyDescent="0.25">
      <c r="A108" s="205"/>
      <c r="B108" s="585"/>
      <c r="C108" s="585"/>
      <c r="R108" s="643" t="str">
        <f>IF(P109&lt;&gt;"","Positive (Job) Placement","")</f>
        <v/>
      </c>
      <c r="S108" s="643"/>
      <c r="T108" s="643"/>
      <c r="U108" s="643"/>
      <c r="V108" s="643"/>
      <c r="AK108" s="643" t="str">
        <f>IF(P109&lt;&gt;"","Positive (Job) Placement","")</f>
        <v/>
      </c>
      <c r="AL108" s="643"/>
      <c r="AM108" s="643"/>
      <c r="AN108" s="643"/>
      <c r="AO108" s="643"/>
      <c r="BC108" s="643" t="str">
        <f>IF(P109&lt;&gt;"","Positive (Job) Placement","")</f>
        <v/>
      </c>
      <c r="BD108" s="643"/>
      <c r="BE108" s="643"/>
      <c r="BF108" s="643"/>
      <c r="BG108" s="643"/>
      <c r="BM108" s="234"/>
      <c r="BN108" s="234"/>
      <c r="BO108" s="234"/>
      <c r="BP108" s="234"/>
      <c r="BQ108" s="234"/>
      <c r="BV108" s="643"/>
      <c r="BW108" s="643"/>
      <c r="BX108" s="643"/>
      <c r="BY108" s="643"/>
      <c r="BZ108" s="643"/>
      <c r="CA108" s="235"/>
      <c r="CB108" s="235"/>
      <c r="CC108" s="235"/>
      <c r="CD108" s="235"/>
      <c r="CE108" s="235"/>
    </row>
    <row r="109" spans="1:84" ht="18.75" customHeight="1" x14ac:dyDescent="0.25">
      <c r="A109" s="205"/>
      <c r="B109" s="304"/>
      <c r="C109" s="304"/>
      <c r="D109" s="304"/>
      <c r="E109" s="304"/>
      <c r="F109" s="305"/>
      <c r="G109" s="310"/>
      <c r="H109" s="310"/>
      <c r="P109" s="649" t="str">
        <f>IF(AND(B121="The outcome threshold of 70% has not been met.  
Please continue to scroll to the right and complete ALL required questions ==&gt;",B122=""),"1)","")</f>
        <v/>
      </c>
      <c r="Q109" s="656"/>
      <c r="R109" s="656"/>
      <c r="S109" s="656"/>
      <c r="T109" s="656"/>
      <c r="U109" s="656"/>
      <c r="V109" s="656"/>
      <c r="W109" s="656"/>
      <c r="X109" s="308"/>
      <c r="Y109" s="642"/>
      <c r="Z109" s="656"/>
      <c r="AA109" s="656"/>
      <c r="AB109" s="656"/>
      <c r="AC109" s="656"/>
      <c r="AD109" s="656"/>
      <c r="AE109" s="656"/>
      <c r="AF109" s="656"/>
      <c r="AG109" s="300"/>
      <c r="AI109" s="656"/>
      <c r="AJ109" s="656"/>
      <c r="AK109" s="656"/>
      <c r="AL109" s="656"/>
      <c r="AM109" s="656"/>
      <c r="AN109" s="656"/>
      <c r="AO109" s="656"/>
      <c r="AQ109" s="642" t="str">
        <f>IF(P109&lt;&gt;"","5)","")</f>
        <v/>
      </c>
      <c r="AR109" s="656" t="str">
        <f>IF(P109&lt;&gt;"","List specific conclusions resulting from your analysis:","")</f>
        <v/>
      </c>
      <c r="AS109" s="656"/>
      <c r="AT109" s="656"/>
      <c r="AU109" s="656"/>
      <c r="AV109" s="656"/>
      <c r="AW109" s="656"/>
      <c r="AX109" s="656"/>
      <c r="AY109" s="300"/>
      <c r="AZ109" s="642" t="str">
        <f>IF(P109&lt;&gt;"","6)","")</f>
        <v/>
      </c>
      <c r="BA109" s="656" t="str">
        <f>IF(P109&lt;&gt;"","What is the program's action plan and the timetable for those actions to address each of your conclusions?","")</f>
        <v/>
      </c>
      <c r="BB109" s="656"/>
      <c r="BC109" s="656"/>
      <c r="BD109" s="656"/>
      <c r="BE109" s="656"/>
      <c r="BF109" s="656"/>
      <c r="BG109" s="656"/>
      <c r="BH109" s="300"/>
      <c r="BJ109" s="300"/>
      <c r="BK109" s="300"/>
      <c r="BL109" s="300"/>
      <c r="BM109" s="300"/>
      <c r="BN109" s="300"/>
      <c r="BO109" s="300"/>
      <c r="BP109" s="300"/>
    </row>
    <row r="110" spans="1:84" x14ac:dyDescent="0.25">
      <c r="A110" s="205"/>
      <c r="P110" s="649"/>
      <c r="Q110" s="656"/>
      <c r="R110" s="656"/>
      <c r="S110" s="656"/>
      <c r="T110" s="656"/>
      <c r="U110" s="656"/>
      <c r="V110" s="656"/>
      <c r="W110" s="656"/>
      <c r="X110" s="308"/>
      <c r="Y110" s="642"/>
      <c r="Z110" s="656"/>
      <c r="AA110" s="656"/>
      <c r="AB110" s="656"/>
      <c r="AC110" s="656"/>
      <c r="AD110" s="656"/>
      <c r="AE110" s="656"/>
      <c r="AF110" s="656"/>
      <c r="AG110" s="300"/>
      <c r="AH110" s="306"/>
      <c r="AI110" s="656"/>
      <c r="AJ110" s="656"/>
      <c r="AK110" s="656"/>
      <c r="AL110" s="656"/>
      <c r="AM110" s="656"/>
      <c r="AN110" s="656"/>
      <c r="AO110" s="656"/>
      <c r="AP110" s="308"/>
      <c r="AQ110" s="642"/>
      <c r="AR110" s="656"/>
      <c r="AS110" s="656"/>
      <c r="AT110" s="656"/>
      <c r="AU110" s="656"/>
      <c r="AV110" s="656"/>
      <c r="AW110" s="656"/>
      <c r="AX110" s="656"/>
      <c r="AY110" s="300"/>
      <c r="AZ110" s="642"/>
      <c r="BA110" s="656"/>
      <c r="BB110" s="656"/>
      <c r="BC110" s="656"/>
      <c r="BD110" s="656"/>
      <c r="BE110" s="656"/>
      <c r="BF110" s="656"/>
      <c r="BG110" s="656"/>
      <c r="BH110" s="300"/>
      <c r="BI110" s="306"/>
      <c r="BJ110" s="300"/>
      <c r="BK110" s="300"/>
      <c r="BL110" s="300"/>
      <c r="BM110" s="300"/>
      <c r="BN110" s="300"/>
      <c r="BO110" s="300"/>
      <c r="BP110" s="300"/>
      <c r="BQ110" s="308"/>
      <c r="BR110" s="308"/>
      <c r="BS110" s="308"/>
      <c r="BU110" s="306"/>
      <c r="BV110" s="852"/>
      <c r="BW110" s="852"/>
      <c r="BX110" s="852"/>
      <c r="BY110" s="852"/>
      <c r="BZ110" s="852"/>
      <c r="CA110" s="852"/>
      <c r="CB110" s="852"/>
      <c r="CC110" s="852"/>
      <c r="CD110" s="852"/>
      <c r="CE110" s="852"/>
    </row>
    <row r="111" spans="1:84" ht="23.25" customHeight="1" x14ac:dyDescent="0.25">
      <c r="A111" s="205"/>
      <c r="B111" s="90" t="s">
        <v>101</v>
      </c>
      <c r="C111" s="91"/>
      <c r="D111" s="91"/>
      <c r="E111" s="91"/>
      <c r="F111" s="91"/>
      <c r="G111" s="91"/>
      <c r="H111" s="91"/>
      <c r="I111" s="91"/>
      <c r="J111" s="91"/>
      <c r="K111" s="91"/>
      <c r="L111" s="91"/>
      <c r="M111" s="91"/>
      <c r="N111" s="92"/>
      <c r="P111" s="404"/>
      <c r="Q111" s="842"/>
      <c r="R111" s="842"/>
      <c r="S111" s="842"/>
      <c r="T111" s="842"/>
      <c r="U111" s="842"/>
      <c r="V111" s="842"/>
      <c r="W111" s="842"/>
      <c r="X111" s="221"/>
      <c r="Z111" s="857"/>
      <c r="AA111" s="857"/>
      <c r="AB111" s="299"/>
      <c r="AC111" s="299"/>
      <c r="AD111" s="299"/>
      <c r="AE111" s="299"/>
      <c r="AF111" s="269"/>
      <c r="AG111" s="263"/>
      <c r="AI111" s="833"/>
      <c r="AJ111" s="833"/>
      <c r="AK111" s="833"/>
      <c r="AL111" s="833"/>
      <c r="AM111" s="833"/>
      <c r="AN111" s="833"/>
      <c r="AO111" s="833"/>
      <c r="AP111" s="263" t="e">
        <f>IF(AP112=1,"&lt;===", "")</f>
        <v>#REF!</v>
      </c>
      <c r="AR111" s="858"/>
      <c r="AS111" s="858"/>
      <c r="AT111" s="858"/>
      <c r="AU111" s="858"/>
      <c r="AV111" s="858"/>
      <c r="AW111" s="858"/>
      <c r="AX111" s="858"/>
      <c r="AY111" s="294" t="e">
        <f>IF(AY112=1,"&lt;===", "")</f>
        <v>#REF!</v>
      </c>
      <c r="BA111" s="833"/>
      <c r="BB111" s="833"/>
      <c r="BC111" s="833"/>
      <c r="BD111" s="833"/>
      <c r="BE111" s="833"/>
      <c r="BF111" s="833"/>
      <c r="BG111" s="833"/>
      <c r="BH111" s="295" t="e">
        <f>IF(BH112=1,"&lt;===", "")</f>
        <v>#REF!</v>
      </c>
      <c r="BJ111" s="831"/>
      <c r="BK111" s="831"/>
      <c r="BV111" s="212"/>
      <c r="BW111" s="212"/>
    </row>
    <row r="112" spans="1:84" ht="62.25" customHeight="1" x14ac:dyDescent="0.25">
      <c r="A112" s="205"/>
      <c r="B112" s="658" t="s">
        <v>90</v>
      </c>
      <c r="C112" s="659"/>
      <c r="D112" s="659"/>
      <c r="E112" s="659"/>
      <c r="F112" s="659"/>
      <c r="G112" s="659"/>
      <c r="H112" s="659"/>
      <c r="I112" s="659"/>
      <c r="J112" s="659"/>
      <c r="K112" s="659"/>
      <c r="L112" s="659"/>
      <c r="M112" s="659"/>
      <c r="N112" s="660"/>
      <c r="Q112" s="842"/>
      <c r="R112" s="842"/>
      <c r="S112" s="842"/>
      <c r="T112" s="842"/>
      <c r="U112" s="842"/>
      <c r="V112" s="842"/>
      <c r="W112" s="842"/>
      <c r="X112" s="225"/>
      <c r="Z112" s="855"/>
      <c r="AA112" s="855"/>
      <c r="AB112" s="855"/>
      <c r="AC112" s="855"/>
      <c r="AD112" s="855"/>
      <c r="AE112" s="855"/>
      <c r="AF112" s="855"/>
      <c r="AG112" s="299"/>
      <c r="AI112" s="833"/>
      <c r="AJ112" s="833"/>
      <c r="AK112" s="833"/>
      <c r="AL112" s="833"/>
      <c r="AM112" s="833"/>
      <c r="AN112" s="833"/>
      <c r="AO112" s="833"/>
      <c r="AP112" s="269" t="e">
        <f>IF(AND(P109&lt;&gt;"", AI111="",#REF!&lt;&gt;""),1, "")</f>
        <v>#REF!</v>
      </c>
      <c r="AR112" s="858"/>
      <c r="AS112" s="858"/>
      <c r="AT112" s="858"/>
      <c r="AU112" s="858"/>
      <c r="AV112" s="858"/>
      <c r="AW112" s="858"/>
      <c r="AX112" s="858"/>
      <c r="AY112" s="267" t="e">
        <f>IF(AND(P109&lt;&gt;"", AR111="",#REF!&lt;&gt;""),1, "")</f>
        <v>#REF!</v>
      </c>
      <c r="BA112" s="833"/>
      <c r="BB112" s="833"/>
      <c r="BC112" s="833"/>
      <c r="BD112" s="833"/>
      <c r="BE112" s="833"/>
      <c r="BF112" s="833"/>
      <c r="BG112" s="833"/>
      <c r="BH112" s="271" t="e">
        <f>IF(AND(P109&lt;&gt;"", BA111="",#REF!&lt;&gt;""),1, "")</f>
        <v>#REF!</v>
      </c>
      <c r="BI112" s="82"/>
      <c r="BJ112" s="315"/>
      <c r="BK112" s="315"/>
      <c r="BL112" s="315"/>
      <c r="BM112" s="315"/>
      <c r="BN112" s="315"/>
      <c r="BO112" s="315"/>
      <c r="BP112" s="315"/>
      <c r="BQ112" s="315"/>
      <c r="BV112" s="300"/>
      <c r="BW112" s="300"/>
      <c r="BX112" s="300"/>
      <c r="BY112" s="300"/>
      <c r="BZ112" s="300"/>
      <c r="CA112" s="300"/>
      <c r="CB112" s="300"/>
      <c r="CC112" s="300"/>
      <c r="CD112" s="300"/>
      <c r="CE112" s="300"/>
    </row>
    <row r="113" spans="1:83" ht="47.25" customHeight="1" x14ac:dyDescent="0.25">
      <c r="A113" s="205"/>
      <c r="B113" s="666" t="s">
        <v>103</v>
      </c>
      <c r="C113" s="667"/>
      <c r="D113" s="668"/>
      <c r="E113" s="93" t="str">
        <f>E63</f>
        <v/>
      </c>
      <c r="F113" s="93" t="str">
        <f t="shared" ref="F113:M113" si="14">F63</f>
        <v/>
      </c>
      <c r="G113" s="93" t="str">
        <f t="shared" si="14"/>
        <v/>
      </c>
      <c r="H113" s="93" t="str">
        <f t="shared" si="14"/>
        <v/>
      </c>
      <c r="I113" s="93" t="str">
        <f t="shared" si="14"/>
        <v/>
      </c>
      <c r="J113" s="93" t="str">
        <f t="shared" si="14"/>
        <v/>
      </c>
      <c r="K113" s="93" t="str">
        <f t="shared" si="14"/>
        <v/>
      </c>
      <c r="L113" s="93" t="str">
        <f t="shared" si="14"/>
        <v/>
      </c>
      <c r="M113" s="93" t="str">
        <f t="shared" si="14"/>
        <v/>
      </c>
      <c r="N113" s="93" t="s">
        <v>12</v>
      </c>
      <c r="P113" s="225"/>
      <c r="Q113" s="842"/>
      <c r="R113" s="842"/>
      <c r="S113" s="842"/>
      <c r="T113" s="842"/>
      <c r="U113" s="842"/>
      <c r="V113" s="842"/>
      <c r="W113" s="842"/>
      <c r="X113" s="313"/>
      <c r="Z113" s="856"/>
      <c r="AA113" s="856"/>
      <c r="AB113" s="856"/>
      <c r="AC113" s="856"/>
      <c r="AD113" s="856"/>
      <c r="AE113" s="856"/>
      <c r="AF113" s="856"/>
      <c r="AG113" s="299"/>
      <c r="AH113" s="312"/>
      <c r="AI113" s="833"/>
      <c r="AJ113" s="833"/>
      <c r="AK113" s="833"/>
      <c r="AL113" s="833"/>
      <c r="AM113" s="833"/>
      <c r="AN113" s="833"/>
      <c r="AO113" s="833"/>
      <c r="AP113" s="299"/>
      <c r="AR113" s="858"/>
      <c r="AS113" s="858"/>
      <c r="AT113" s="858"/>
      <c r="AU113" s="858"/>
      <c r="AV113" s="858"/>
      <c r="AW113" s="858"/>
      <c r="AX113" s="858"/>
      <c r="AY113" s="209"/>
      <c r="BA113" s="833"/>
      <c r="BB113" s="833"/>
      <c r="BC113" s="833"/>
      <c r="BD113" s="833"/>
      <c r="BE113" s="833"/>
      <c r="BF113" s="833"/>
      <c r="BG113" s="833"/>
      <c r="BH113" s="296"/>
      <c r="BI113" s="12"/>
      <c r="BJ113" s="209"/>
      <c r="BK113" s="209"/>
      <c r="BL113" s="209"/>
      <c r="BM113" s="209"/>
      <c r="BN113" s="209"/>
      <c r="BO113" s="209"/>
      <c r="BP113" s="209"/>
      <c r="BQ113" s="209"/>
      <c r="BR113" s="209"/>
      <c r="BS113" s="209"/>
      <c r="BV113" s="211"/>
      <c r="BW113" s="211"/>
      <c r="BX113" s="211"/>
      <c r="BY113" s="211"/>
      <c r="BZ113" s="211"/>
      <c r="CA113" s="211"/>
      <c r="CB113" s="211"/>
      <c r="CC113" s="211"/>
      <c r="CD113" s="211"/>
      <c r="CE113" s="211"/>
    </row>
    <row r="114" spans="1:83" ht="18" customHeight="1" x14ac:dyDescent="0.25">
      <c r="A114" s="205"/>
      <c r="B114" s="663" t="s">
        <v>14</v>
      </c>
      <c r="C114" s="664"/>
      <c r="D114" s="665"/>
      <c r="E114" s="94" t="str">
        <f t="shared" ref="E114:M114" si="15">IF(ISBLANK(E64),"",E64)</f>
        <v/>
      </c>
      <c r="F114" s="94" t="str">
        <f t="shared" si="15"/>
        <v/>
      </c>
      <c r="G114" s="94" t="str">
        <f t="shared" si="15"/>
        <v/>
      </c>
      <c r="H114" s="94" t="str">
        <f t="shared" si="15"/>
        <v/>
      </c>
      <c r="I114" s="94" t="str">
        <f t="shared" si="15"/>
        <v/>
      </c>
      <c r="J114" s="94" t="str">
        <f t="shared" si="15"/>
        <v/>
      </c>
      <c r="K114" s="94" t="str">
        <f t="shared" si="15"/>
        <v/>
      </c>
      <c r="L114" s="94" t="str">
        <f t="shared" si="15"/>
        <v/>
      </c>
      <c r="M114" s="94" t="str">
        <f t="shared" si="15"/>
        <v/>
      </c>
      <c r="N114" s="95"/>
      <c r="Q114" s="842"/>
      <c r="R114" s="842"/>
      <c r="S114" s="842"/>
      <c r="T114" s="842"/>
      <c r="U114" s="842"/>
      <c r="V114" s="842"/>
      <c r="W114" s="842"/>
      <c r="X114" s="12"/>
      <c r="Z114" s="857"/>
      <c r="AA114" s="857"/>
      <c r="AB114" s="299"/>
      <c r="AC114" s="299"/>
      <c r="AD114" s="299"/>
      <c r="AE114" s="299"/>
      <c r="AF114" s="269"/>
      <c r="AG114" s="263"/>
      <c r="AI114" s="833"/>
      <c r="AJ114" s="833"/>
      <c r="AK114" s="833"/>
      <c r="AL114" s="833"/>
      <c r="AM114" s="833"/>
      <c r="AN114" s="833"/>
      <c r="AO114" s="833"/>
      <c r="AP114" s="299"/>
      <c r="AR114" s="858"/>
      <c r="AS114" s="858"/>
      <c r="AT114" s="858"/>
      <c r="AU114" s="858"/>
      <c r="AV114" s="858"/>
      <c r="AW114" s="858"/>
      <c r="AX114" s="858"/>
      <c r="AY114" s="209"/>
      <c r="BA114" s="833"/>
      <c r="BB114" s="833"/>
      <c r="BC114" s="833"/>
      <c r="BD114" s="833"/>
      <c r="BE114" s="833"/>
      <c r="BF114" s="833"/>
      <c r="BG114" s="833"/>
      <c r="BH114" s="299"/>
      <c r="BI114" s="12"/>
      <c r="BJ114" s="209"/>
      <c r="BK114" s="209"/>
      <c r="BL114" s="209"/>
      <c r="BM114" s="209"/>
      <c r="BN114" s="209"/>
      <c r="BO114" s="209"/>
      <c r="BP114" s="209"/>
      <c r="BQ114" s="209"/>
      <c r="BR114" s="209"/>
      <c r="BS114" s="209"/>
      <c r="BV114" s="211"/>
      <c r="BW114" s="211"/>
      <c r="BX114" s="211"/>
      <c r="BY114" s="211"/>
      <c r="BZ114" s="211"/>
      <c r="CA114" s="211"/>
      <c r="CB114" s="211"/>
      <c r="CC114" s="211"/>
      <c r="CD114" s="211"/>
      <c r="CE114" s="211"/>
    </row>
    <row r="115" spans="1:83" ht="18" customHeight="1" x14ac:dyDescent="0.25">
      <c r="A115" s="205"/>
      <c r="B115" s="598" t="s">
        <v>11</v>
      </c>
      <c r="C115" s="599"/>
      <c r="D115" s="26"/>
      <c r="E115" s="130" t="str">
        <f t="shared" ref="E115:M115" si="16">IF(ISBLANK(E65),"",E65)</f>
        <v/>
      </c>
      <c r="F115" s="130" t="str">
        <f t="shared" si="16"/>
        <v/>
      </c>
      <c r="G115" s="130" t="str">
        <f t="shared" si="16"/>
        <v/>
      </c>
      <c r="H115" s="130" t="str">
        <f t="shared" si="16"/>
        <v/>
      </c>
      <c r="I115" s="130" t="str">
        <f t="shared" si="16"/>
        <v/>
      </c>
      <c r="J115" s="130" t="str">
        <f t="shared" si="16"/>
        <v/>
      </c>
      <c r="K115" s="130" t="str">
        <f t="shared" si="16"/>
        <v/>
      </c>
      <c r="L115" s="130" t="str">
        <f t="shared" si="16"/>
        <v/>
      </c>
      <c r="M115" s="130" t="str">
        <f t="shared" si="16"/>
        <v/>
      </c>
      <c r="N115" s="131"/>
      <c r="Q115" s="842"/>
      <c r="R115" s="842"/>
      <c r="S115" s="842"/>
      <c r="T115" s="842"/>
      <c r="U115" s="842"/>
      <c r="V115" s="842"/>
      <c r="W115" s="842"/>
      <c r="X115" s="12"/>
      <c r="Z115" s="854"/>
      <c r="AA115" s="854"/>
      <c r="AI115" s="833"/>
      <c r="AJ115" s="833"/>
      <c r="AK115" s="833"/>
      <c r="AL115" s="833"/>
      <c r="AM115" s="833"/>
      <c r="AN115" s="833"/>
      <c r="AO115" s="833"/>
      <c r="AR115" s="858"/>
      <c r="AS115" s="858"/>
      <c r="AT115" s="858"/>
      <c r="AU115" s="858"/>
      <c r="AV115" s="858"/>
      <c r="AW115" s="858"/>
      <c r="AX115" s="858"/>
      <c r="BA115" s="833"/>
      <c r="BB115" s="833"/>
      <c r="BC115" s="833"/>
      <c r="BD115" s="833"/>
      <c r="BE115" s="833"/>
      <c r="BF115" s="833"/>
      <c r="BG115" s="833"/>
      <c r="BH115" s="299"/>
      <c r="BI115" s="12"/>
      <c r="BJ115" s="209"/>
      <c r="BK115" s="209"/>
      <c r="BL115" s="209"/>
      <c r="BM115" s="209"/>
      <c r="BN115" s="209"/>
      <c r="BO115" s="209"/>
      <c r="BP115" s="209"/>
      <c r="BQ115" s="209"/>
      <c r="BR115" s="209"/>
      <c r="BS115" s="209"/>
      <c r="BV115" s="211"/>
      <c r="BW115" s="211"/>
      <c r="BX115" s="211"/>
      <c r="BY115" s="211"/>
      <c r="BZ115" s="211"/>
      <c r="CA115" s="211"/>
      <c r="CB115" s="211"/>
      <c r="CC115" s="211"/>
      <c r="CD115" s="211"/>
      <c r="CE115" s="211"/>
    </row>
    <row r="116" spans="1:83" ht="55.5" customHeight="1" x14ac:dyDescent="0.25">
      <c r="A116" s="250"/>
      <c r="B116" s="661" t="s">
        <v>106</v>
      </c>
      <c r="C116" s="662"/>
      <c r="D116" s="662"/>
      <c r="E116" s="134" t="str">
        <f t="shared" ref="E116:N116" si="17">IF(ISBLANK(E78),"",E78)</f>
        <v/>
      </c>
      <c r="F116" s="134" t="str">
        <f t="shared" si="17"/>
        <v/>
      </c>
      <c r="G116" s="134" t="str">
        <f t="shared" si="17"/>
        <v/>
      </c>
      <c r="H116" s="134" t="str">
        <f t="shared" si="17"/>
        <v/>
      </c>
      <c r="I116" s="134" t="str">
        <f t="shared" si="17"/>
        <v/>
      </c>
      <c r="J116" s="134" t="str">
        <f t="shared" si="17"/>
        <v/>
      </c>
      <c r="K116" s="134" t="str">
        <f t="shared" si="17"/>
        <v/>
      </c>
      <c r="L116" s="134" t="str">
        <f t="shared" si="17"/>
        <v/>
      </c>
      <c r="M116" s="134" t="str">
        <f t="shared" si="17"/>
        <v/>
      </c>
      <c r="N116" s="151" t="str">
        <f t="shared" si="17"/>
        <v/>
      </c>
      <c r="Q116" s="842"/>
      <c r="R116" s="842"/>
      <c r="S116" s="842"/>
      <c r="T116" s="842"/>
      <c r="U116" s="842"/>
      <c r="V116" s="842"/>
      <c r="W116" s="842"/>
      <c r="X116" s="12"/>
      <c r="Z116" s="833"/>
      <c r="AA116" s="833"/>
      <c r="AB116" s="833"/>
      <c r="AC116" s="833"/>
      <c r="AD116" s="833"/>
      <c r="AE116" s="833"/>
      <c r="AF116" s="833"/>
      <c r="AG116" s="295"/>
      <c r="AI116" s="833"/>
      <c r="AJ116" s="833"/>
      <c r="AK116" s="833"/>
      <c r="AL116" s="833"/>
      <c r="AM116" s="833"/>
      <c r="AN116" s="833"/>
      <c r="AO116" s="833"/>
      <c r="AR116" s="858"/>
      <c r="AS116" s="858"/>
      <c r="AT116" s="858"/>
      <c r="AU116" s="858"/>
      <c r="AV116" s="858"/>
      <c r="AW116" s="858"/>
      <c r="AX116" s="858"/>
      <c r="BA116" s="833"/>
      <c r="BB116" s="833"/>
      <c r="BC116" s="833"/>
      <c r="BD116" s="833"/>
      <c r="BE116" s="833"/>
      <c r="BF116" s="833"/>
      <c r="BG116" s="833"/>
      <c r="BH116" s="299"/>
      <c r="BI116" s="12"/>
      <c r="BJ116" s="209"/>
      <c r="BK116" s="209"/>
      <c r="BL116" s="209"/>
      <c r="BM116" s="209"/>
      <c r="BN116" s="209"/>
      <c r="BO116" s="209"/>
      <c r="BP116" s="209"/>
      <c r="BQ116" s="209"/>
      <c r="BR116" s="209"/>
      <c r="BS116" s="209"/>
      <c r="BV116" s="211"/>
      <c r="BW116" s="211"/>
      <c r="BX116" s="211"/>
      <c r="BY116" s="211"/>
      <c r="BZ116" s="211"/>
      <c r="CA116" s="211"/>
      <c r="CB116" s="211"/>
      <c r="CC116" s="211"/>
      <c r="CD116" s="211"/>
      <c r="CE116" s="211"/>
    </row>
    <row r="117" spans="1:83" ht="23.25" customHeight="1" x14ac:dyDescent="0.25">
      <c r="A117" s="205"/>
      <c r="B117" s="307"/>
      <c r="C117" s="161" t="s">
        <v>29</v>
      </c>
      <c r="D117" s="133"/>
      <c r="E117" s="167"/>
      <c r="F117" s="167"/>
      <c r="G117" s="167"/>
      <c r="H117" s="167"/>
      <c r="I117" s="167"/>
      <c r="J117" s="167"/>
      <c r="K117" s="167"/>
      <c r="L117" s="167"/>
      <c r="M117" s="167"/>
      <c r="N117" s="170" t="str">
        <f>IF(COUNT(E117:M117),SUM(E117:M117),"")</f>
        <v/>
      </c>
      <c r="O117" s="214" t="str">
        <f>IF(P117=1, "&lt;===", "")</f>
        <v/>
      </c>
      <c r="P117" s="364" t="str">
        <f>IF(OR(AND(E116&lt;&gt;"",E117="",'2022 Annual Report'!$D$432&lt;&gt;""),AND(F116&lt;&gt;"",F117="",'2022 Annual Report'!$D$432&lt;&gt;""),AND(G116&lt;&gt;"",G117="",'2022 Annual Report'!$D$432&lt;&gt;""),AND(H116&lt;&gt;"",H117="",'2022 Annual Report'!$D$432&lt;&gt;""),AND(I116&lt;&gt;"",I117="",'2022 Annual Report'!$D$432&lt;&gt;""),AND(J116&lt;&gt;"",J117="",'2022 Annual Report'!$D$432&lt;&gt;""),AND(K116&lt;&gt;"",K117="",'2022 Annual Report'!$D$432&lt;&gt;""),AND(L116&lt;&gt;"",L117="",'2022 Annual Report'!$D$432&lt;&gt;""),AND(M116&lt;&gt;"",M117="",'2022 Annual Report'!$D$432&lt;&gt;"")), 1, "")</f>
        <v/>
      </c>
      <c r="Q117" s="842"/>
      <c r="R117" s="842"/>
      <c r="S117" s="842"/>
      <c r="T117" s="842"/>
      <c r="U117" s="842"/>
      <c r="V117" s="842"/>
      <c r="W117" s="842"/>
      <c r="X117" s="296"/>
      <c r="Y117" s="849"/>
      <c r="Z117" s="833"/>
      <c r="AA117" s="833"/>
      <c r="AB117" s="833"/>
      <c r="AC117" s="833"/>
      <c r="AD117" s="833"/>
      <c r="AE117" s="833"/>
      <c r="AF117" s="833"/>
      <c r="AG117" s="271"/>
      <c r="AH117" s="849"/>
      <c r="AI117" s="833"/>
      <c r="AJ117" s="833"/>
      <c r="AK117" s="833"/>
      <c r="AL117" s="833"/>
      <c r="AM117" s="833"/>
      <c r="AN117" s="833"/>
      <c r="AO117" s="833"/>
      <c r="AP117" s="296"/>
      <c r="AQ117" s="849"/>
      <c r="AR117" s="858"/>
      <c r="AS117" s="858"/>
      <c r="AT117" s="858"/>
      <c r="AU117" s="858"/>
      <c r="AV117" s="858"/>
      <c r="AW117" s="858"/>
      <c r="AX117" s="858"/>
      <c r="AY117" s="313"/>
      <c r="BA117" s="833"/>
      <c r="BB117" s="833"/>
      <c r="BC117" s="833"/>
      <c r="BD117" s="833"/>
      <c r="BE117" s="833"/>
      <c r="BF117" s="833"/>
      <c r="BG117" s="833"/>
      <c r="BH117" s="299"/>
      <c r="BI117" s="12"/>
      <c r="BJ117" s="209"/>
      <c r="BK117" s="209"/>
      <c r="BL117" s="209"/>
      <c r="BM117" s="209"/>
      <c r="BN117" s="209"/>
      <c r="BO117" s="209"/>
      <c r="BP117" s="209"/>
      <c r="BQ117" s="209"/>
      <c r="BR117" s="209"/>
      <c r="BS117" s="209"/>
      <c r="BV117" s="211"/>
      <c r="BW117" s="211"/>
      <c r="BX117" s="211"/>
      <c r="BY117" s="211"/>
      <c r="BZ117" s="211"/>
      <c r="CA117" s="211"/>
      <c r="CB117" s="211"/>
      <c r="CC117" s="211"/>
      <c r="CD117" s="211"/>
      <c r="CE117" s="211"/>
    </row>
    <row r="118" spans="1:83" ht="35.25" customHeight="1" x14ac:dyDescent="0.25">
      <c r="A118" s="205"/>
      <c r="B118" s="135"/>
      <c r="C118" s="636" t="s">
        <v>82</v>
      </c>
      <c r="D118" s="637"/>
      <c r="E118" s="171"/>
      <c r="F118" s="171"/>
      <c r="G118" s="171"/>
      <c r="H118" s="171"/>
      <c r="I118" s="171"/>
      <c r="J118" s="171"/>
      <c r="K118" s="171"/>
      <c r="L118" s="171"/>
      <c r="M118" s="171"/>
      <c r="N118" s="172" t="str">
        <f>IF(COUNT(E118:M118),SUM(E118:M118),"")</f>
        <v/>
      </c>
      <c r="O118" s="214" t="str">
        <f>IF(P118=1, "&lt;===", "")</f>
        <v/>
      </c>
      <c r="P118" s="364" t="str">
        <f>IF(OR(AND(E116&lt;&gt;"",E118="",'2022 Annual Report'!$D$432&lt;&gt;""),AND(F116&lt;&gt;"",F118="",'2022 Annual Report'!$D$432&lt;&gt;""),AND(G116&lt;&gt;"",G118="",'2022 Annual Report'!$D$432&lt;&gt;""),AND(H116&lt;&gt;"",H118="",'2022 Annual Report'!$D$432&lt;&gt;""),AND(I116&lt;&gt;"",I118="",'2022 Annual Report'!$D$432&lt;&gt;""),AND(J116&lt;&gt;"",J118="",'2022 Annual Report'!$D$432&lt;&gt;""),AND(K116&lt;&gt;"",K118="",'2022 Annual Report'!$D$432&lt;&gt;""),AND(L116&lt;&gt;"",L118="",'2022 Annual Report'!$D$432&lt;&gt;""),AND(M116&lt;&gt;"",M118="",'2022 Annual Report'!$D$432&lt;&gt;"")), 1, "")</f>
        <v/>
      </c>
      <c r="Q118" s="842"/>
      <c r="R118" s="842"/>
      <c r="S118" s="842"/>
      <c r="T118" s="842"/>
      <c r="U118" s="842"/>
      <c r="V118" s="842"/>
      <c r="W118" s="842"/>
      <c r="X118" s="296"/>
      <c r="Y118" s="849"/>
      <c r="Z118" s="833"/>
      <c r="AA118" s="833"/>
      <c r="AB118" s="833"/>
      <c r="AC118" s="833"/>
      <c r="AD118" s="833"/>
      <c r="AE118" s="833"/>
      <c r="AF118" s="833"/>
      <c r="AG118" s="296"/>
      <c r="AH118" s="849"/>
      <c r="AI118" s="833"/>
      <c r="AJ118" s="833"/>
      <c r="AK118" s="833"/>
      <c r="AL118" s="833"/>
      <c r="AM118" s="833"/>
      <c r="AN118" s="833"/>
      <c r="AO118" s="833"/>
      <c r="AP118" s="296"/>
      <c r="AQ118" s="849"/>
      <c r="AR118" s="858"/>
      <c r="AS118" s="858"/>
      <c r="AT118" s="858"/>
      <c r="AU118" s="858"/>
      <c r="AV118" s="858"/>
      <c r="AW118" s="858"/>
      <c r="AX118" s="858"/>
      <c r="AY118" s="313"/>
      <c r="BA118" s="833"/>
      <c r="BB118" s="833"/>
      <c r="BC118" s="833"/>
      <c r="BD118" s="833"/>
      <c r="BE118" s="833"/>
      <c r="BF118" s="833"/>
      <c r="BG118" s="833"/>
      <c r="BH118" s="299"/>
      <c r="BI118" s="12"/>
      <c r="BJ118" s="209"/>
      <c r="BK118" s="209"/>
      <c r="BL118" s="209"/>
      <c r="BM118" s="209"/>
      <c r="BN118" s="209"/>
      <c r="BO118" s="209"/>
      <c r="BP118" s="209"/>
      <c r="BQ118" s="209"/>
      <c r="BR118" s="209"/>
      <c r="BS118" s="209"/>
      <c r="BV118" s="211"/>
      <c r="BW118" s="211"/>
      <c r="BX118" s="211"/>
      <c r="BY118" s="211"/>
      <c r="BZ118" s="211"/>
      <c r="CA118" s="211"/>
      <c r="CB118" s="211"/>
      <c r="CC118" s="211"/>
      <c r="CD118" s="211"/>
      <c r="CE118" s="211"/>
    </row>
    <row r="119" spans="1:83" ht="24.75" customHeight="1" x14ac:dyDescent="0.25">
      <c r="A119" s="205"/>
      <c r="B119" s="582" t="str">
        <f>"Total Satellite Positive Placement in " &amp;D4</f>
        <v>Total Satellite Positive Placement in 2022</v>
      </c>
      <c r="C119" s="583"/>
      <c r="D119" s="584"/>
      <c r="E119" s="75" t="str">
        <f>IF(OR(E116="",E117="",E118=""),"",SUM(E117+E118))</f>
        <v/>
      </c>
      <c r="F119" s="75" t="str">
        <f t="shared" ref="F119:M119" si="18">IF(OR(F116="",F117="",F118=""),"",SUM(F117+F118))</f>
        <v/>
      </c>
      <c r="G119" s="75" t="str">
        <f t="shared" si="18"/>
        <v/>
      </c>
      <c r="H119" s="75" t="str">
        <f t="shared" si="18"/>
        <v/>
      </c>
      <c r="I119" s="75" t="str">
        <f t="shared" si="18"/>
        <v/>
      </c>
      <c r="J119" s="75" t="str">
        <f t="shared" si="18"/>
        <v/>
      </c>
      <c r="K119" s="75" t="str">
        <f t="shared" si="18"/>
        <v/>
      </c>
      <c r="L119" s="75" t="str">
        <f t="shared" si="18"/>
        <v/>
      </c>
      <c r="M119" s="75" t="str">
        <f t="shared" si="18"/>
        <v/>
      </c>
      <c r="N119" s="70" t="str">
        <f>IF(COUNT(N117:N118),SUM(N117,N118),"")</f>
        <v/>
      </c>
      <c r="P119" s="364"/>
      <c r="Q119" s="842"/>
      <c r="R119" s="842"/>
      <c r="S119" s="842"/>
      <c r="T119" s="842"/>
      <c r="U119" s="842"/>
      <c r="V119" s="842"/>
      <c r="W119" s="842"/>
      <c r="X119" s="12"/>
      <c r="Z119" s="833"/>
      <c r="AA119" s="833"/>
      <c r="AB119" s="833"/>
      <c r="AC119" s="833"/>
      <c r="AD119" s="833"/>
      <c r="AE119" s="833"/>
      <c r="AF119" s="833"/>
      <c r="AG119" s="5"/>
      <c r="AI119" s="833"/>
      <c r="AJ119" s="833"/>
      <c r="AK119" s="833"/>
      <c r="AL119" s="833"/>
      <c r="AM119" s="833"/>
      <c r="AN119" s="833"/>
      <c r="AO119" s="833"/>
      <c r="AR119" s="858"/>
      <c r="AS119" s="858"/>
      <c r="AT119" s="858"/>
      <c r="AU119" s="858"/>
      <c r="AV119" s="858"/>
      <c r="AW119" s="858"/>
      <c r="AX119" s="858"/>
      <c r="BA119" s="833"/>
      <c r="BB119" s="833"/>
      <c r="BC119" s="833"/>
      <c r="BD119" s="833"/>
      <c r="BE119" s="833"/>
      <c r="BF119" s="833"/>
      <c r="BG119" s="833"/>
      <c r="BH119" s="299"/>
      <c r="BI119" s="12"/>
      <c r="BJ119" s="209"/>
      <c r="BK119" s="209"/>
      <c r="BL119" s="209"/>
      <c r="BM119" s="209"/>
      <c r="BN119" s="209"/>
      <c r="BO119" s="209"/>
      <c r="BP119" s="209"/>
      <c r="BQ119" s="209"/>
      <c r="BR119" s="209"/>
      <c r="BS119" s="209"/>
    </row>
    <row r="120" spans="1:83" ht="45.75" customHeight="1" x14ac:dyDescent="0.25">
      <c r="A120" s="205"/>
      <c r="B120" s="595" t="s">
        <v>107</v>
      </c>
      <c r="C120" s="596"/>
      <c r="D120" s="597"/>
      <c r="E120" s="190" t="str">
        <f>IF(E116="","",IFERROR(E119/E116,0))</f>
        <v/>
      </c>
      <c r="F120" s="190" t="str">
        <f>IF(F116="","",IFERROR(F119/F116,0))</f>
        <v/>
      </c>
      <c r="G120" s="190" t="str">
        <f t="shared" ref="G120:M120" si="19">IF(G116="","",IFERROR(G119/G116,0))</f>
        <v/>
      </c>
      <c r="H120" s="190" t="str">
        <f t="shared" si="19"/>
        <v/>
      </c>
      <c r="I120" s="190" t="str">
        <f t="shared" si="19"/>
        <v/>
      </c>
      <c r="J120" s="190" t="str">
        <f t="shared" si="19"/>
        <v/>
      </c>
      <c r="K120" s="190" t="str">
        <f t="shared" si="19"/>
        <v/>
      </c>
      <c r="L120" s="190" t="str">
        <f t="shared" si="19"/>
        <v/>
      </c>
      <c r="M120" s="190" t="str">
        <f t="shared" si="19"/>
        <v/>
      </c>
      <c r="N120" s="191">
        <f>IF(AND(N66&lt;&gt;"",N117&lt;&gt;"",N118&lt;&gt;""),N119/N116,0)</f>
        <v>0</v>
      </c>
      <c r="O120" s="226" t="str">
        <f>IF(P119=1, "&lt;===", "")</f>
        <v/>
      </c>
      <c r="P120" s="405"/>
      <c r="Q120" s="834"/>
      <c r="R120" s="834"/>
      <c r="S120" s="834"/>
      <c r="T120" s="834"/>
      <c r="U120" s="834"/>
      <c r="V120" s="834"/>
      <c r="W120" s="834"/>
      <c r="X120" s="12"/>
      <c r="Z120" s="833"/>
      <c r="AA120" s="833"/>
      <c r="AB120" s="833"/>
      <c r="AC120" s="833"/>
      <c r="AD120" s="833"/>
      <c r="AE120" s="833"/>
      <c r="AF120" s="833"/>
      <c r="AG120" s="5"/>
      <c r="AI120" s="833"/>
      <c r="AJ120" s="833"/>
      <c r="AK120" s="833"/>
      <c r="AL120" s="833"/>
      <c r="AM120" s="833"/>
      <c r="AN120" s="833"/>
      <c r="AO120" s="833"/>
      <c r="AR120" s="858"/>
      <c r="AS120" s="858"/>
      <c r="AT120" s="858"/>
      <c r="AU120" s="858"/>
      <c r="AV120" s="858"/>
      <c r="AW120" s="858"/>
      <c r="AX120" s="858"/>
      <c r="BA120" s="833"/>
      <c r="BB120" s="833"/>
      <c r="BC120" s="833"/>
      <c r="BD120" s="833"/>
      <c r="BE120" s="833"/>
      <c r="BF120" s="833"/>
      <c r="BG120" s="833"/>
      <c r="BH120" s="299"/>
      <c r="BI120" s="12"/>
      <c r="BJ120" s="209"/>
      <c r="BK120" s="209"/>
      <c r="BL120" s="209"/>
      <c r="BM120" s="209"/>
      <c r="BN120" s="209"/>
      <c r="BO120" s="209"/>
      <c r="BP120" s="209"/>
      <c r="BQ120" s="209"/>
      <c r="BR120" s="209"/>
      <c r="BS120" s="209"/>
      <c r="BU120" s="306"/>
      <c r="BV120" s="852"/>
      <c r="BW120" s="852"/>
      <c r="BX120" s="852"/>
      <c r="BY120" s="852"/>
      <c r="BZ120" s="852"/>
      <c r="CA120" s="852"/>
      <c r="CB120" s="852"/>
      <c r="CC120" s="852"/>
      <c r="CD120" s="852"/>
      <c r="CE120" s="852"/>
    </row>
    <row r="121" spans="1:83" ht="120.75" customHeight="1" x14ac:dyDescent="0.25">
      <c r="A121" s="205"/>
      <c r="B121" s="836" t="str">
        <f>IF(OR(AND(N116&lt;&gt;"",N117&lt;&gt;"",N118&lt;&gt;"",N119&lt;&gt;"",N120&lt;0.7,B122=""),AND(N116&lt;&gt;"",N117&lt;&gt;"",N118&lt;&gt;"",N119&lt;&gt;"",N120&gt;=0.7,N120&lt;=100%,B122="")),"This table is finished.  
The overall results for this outcome are calculated on the "&amp;D4&amp;" Annual Report tab.  
Please return to the "&amp;D4&amp;" Annual Report tab to finish completing the Annual Report.  
Remember to save your work often.","")</f>
        <v/>
      </c>
      <c r="C121" s="837"/>
      <c r="D121" s="837"/>
      <c r="E121" s="837"/>
      <c r="F121" s="837"/>
      <c r="G121" s="837"/>
      <c r="H121" s="837"/>
      <c r="I121" s="837"/>
      <c r="J121" s="837"/>
      <c r="K121" s="837"/>
      <c r="L121" s="837"/>
      <c r="M121" s="837"/>
      <c r="N121" s="838"/>
      <c r="Q121" s="842"/>
      <c r="R121" s="842"/>
      <c r="S121" s="842"/>
      <c r="T121" s="842"/>
      <c r="U121" s="842"/>
      <c r="V121" s="842"/>
      <c r="W121" s="842"/>
      <c r="X121" s="264"/>
      <c r="Y121" s="312"/>
      <c r="Z121" s="818"/>
      <c r="AA121" s="818"/>
      <c r="AB121" s="818"/>
      <c r="AC121" s="818"/>
      <c r="AD121" s="818"/>
      <c r="AE121" s="818"/>
      <c r="AF121" s="818"/>
      <c r="AG121" s="296"/>
      <c r="AI121" s="833"/>
      <c r="AJ121" s="833"/>
      <c r="AK121" s="833"/>
      <c r="AL121" s="833"/>
      <c r="AM121" s="833"/>
      <c r="AN121" s="833"/>
      <c r="AO121" s="833"/>
      <c r="AP121" s="296"/>
      <c r="AR121" s="858"/>
      <c r="AS121" s="858"/>
      <c r="AT121" s="858"/>
      <c r="AU121" s="858"/>
      <c r="AV121" s="858"/>
      <c r="AW121" s="858"/>
      <c r="AX121" s="858"/>
      <c r="AY121" s="296"/>
      <c r="BA121" s="833"/>
      <c r="BB121" s="833"/>
      <c r="BC121" s="833"/>
      <c r="BD121" s="833"/>
      <c r="BE121" s="833"/>
      <c r="BF121" s="833"/>
      <c r="BG121" s="833"/>
      <c r="BH121" s="299"/>
      <c r="BI121" s="12"/>
      <c r="BJ121" s="209"/>
      <c r="BK121" s="209"/>
      <c r="BL121" s="209"/>
      <c r="BM121" s="209"/>
      <c r="BN121" s="209"/>
      <c r="BO121" s="209"/>
      <c r="BP121" s="209"/>
      <c r="BQ121" s="209"/>
      <c r="BR121" s="209"/>
      <c r="BS121" s="209"/>
      <c r="BV121" s="209"/>
      <c r="BW121" s="209"/>
      <c r="BX121" s="209"/>
      <c r="BY121" s="209"/>
      <c r="BZ121" s="209"/>
      <c r="CA121" s="209"/>
      <c r="CB121" s="209"/>
      <c r="CC121" s="209"/>
      <c r="CD121" s="209"/>
      <c r="CE121" s="209"/>
    </row>
    <row r="122" spans="1:83" ht="52.5" customHeight="1" x14ac:dyDescent="0.25">
      <c r="A122" s="205"/>
      <c r="B122" s="632" t="str">
        <f>IF(OR(AND(E120&gt;100%,E119&lt;&gt;""),AND(F120&gt;100%,F119&lt;&gt;""),AND(G120&gt;100%,G119&lt;&gt;""),AND(H120&gt;100%,H119&lt;&gt;""),AND(I120&gt;100%,I119&lt;&gt;""),AND(J120&gt;100%,J119&lt;&gt;""),AND(K120&gt;100%,K119&lt;&gt;""),AND(L120&gt;100%,L119&lt;&gt;""),AND(M120&gt;100%,M119&lt;&gt;""),AND(N120&gt;100%,N119&lt;&gt;"")),"Error has occurred; The pass rate success percentage cannot be more than 100%",IF(OR(AND(E116&lt;&gt;"",E119&lt;&gt;"",E119&gt;E116),AND(F116&lt;&gt;"",F119&lt;&gt;"",F119&gt;F116),AND(G116&lt;&gt;"",G119&lt;&gt;"",G119&gt;G116),AND(H116&lt;&gt;"",H119&lt;&gt;"",H119&gt;H116),AND(I116&lt;&gt;"",I119&lt;&gt;"",I119&gt;I116),AND(J116&lt;&gt;"",J119&lt;&gt;"",J119&gt;J116),AND(K116&lt;&gt;"",K119&lt;&gt;"",K119&gt;K116),AND(L116&lt;&gt;"",L119&lt;&gt;"",L119&gt;L116),AND(M116&lt;&gt;"",M119&lt;&gt;"",M119&gt;M116)),"Error has occurred; The total positive placement number cannot be more than the total graduates reported",IF(OR(AND(E116&lt;&gt;"",E119="",E120=0),AND(F116&lt;&gt;"",F119="",F120=0),AND(G116&lt;&gt;"",G119="",G120=0),AND(H116&lt;&gt;"",H119="",H120=0),AND(I116&lt;&gt;"",I119="",I120=0),AND(J116&lt;&gt;"",J119="",J120=0),AND(K116&lt;&gt;"",K119="",K120=0),AND(L116&lt;&gt;"",L119="",L120=0),AND(M116&lt;&gt;"",M119="",M120=0)),"Please Note: An empty or blank cell is not the same as a zero.","")))</f>
        <v/>
      </c>
      <c r="C122" s="632"/>
      <c r="D122" s="632"/>
      <c r="E122" s="632"/>
      <c r="F122" s="632"/>
      <c r="G122" s="632"/>
      <c r="H122" s="632"/>
      <c r="I122" s="632"/>
      <c r="J122" s="632"/>
      <c r="K122" s="632"/>
      <c r="L122" s="632"/>
      <c r="M122" s="632"/>
      <c r="N122" s="632"/>
      <c r="Q122" s="842"/>
      <c r="R122" s="842"/>
      <c r="S122" s="842"/>
      <c r="T122" s="842"/>
      <c r="U122" s="842"/>
      <c r="V122" s="842"/>
      <c r="W122" s="842"/>
      <c r="X122" s="269"/>
      <c r="Z122" s="833"/>
      <c r="AA122" s="833"/>
      <c r="AB122" s="833"/>
      <c r="AC122" s="833"/>
      <c r="AD122" s="833"/>
      <c r="AE122" s="833"/>
      <c r="AF122" s="833"/>
      <c r="AG122" s="263"/>
      <c r="AI122" s="833"/>
      <c r="AJ122" s="833"/>
      <c r="AK122" s="833"/>
      <c r="AL122" s="833"/>
      <c r="AM122" s="833"/>
      <c r="AN122" s="833"/>
      <c r="AO122" s="833"/>
      <c r="AP122" s="209"/>
      <c r="AR122" s="858"/>
      <c r="AS122" s="858"/>
      <c r="AT122" s="858"/>
      <c r="AU122" s="858"/>
      <c r="AV122" s="858"/>
      <c r="AW122" s="858"/>
      <c r="AX122" s="858"/>
      <c r="AY122" s="209"/>
      <c r="BA122" s="833"/>
      <c r="BB122" s="833"/>
      <c r="BC122" s="833"/>
      <c r="BD122" s="833"/>
      <c r="BE122" s="833"/>
      <c r="BF122" s="833"/>
      <c r="BG122" s="833"/>
      <c r="BH122" s="299"/>
      <c r="BI122" s="312"/>
      <c r="BJ122" s="209"/>
      <c r="BK122" s="209"/>
      <c r="BL122" s="209"/>
      <c r="BM122" s="209"/>
      <c r="BN122" s="209"/>
      <c r="BO122" s="209"/>
      <c r="BP122" s="209"/>
      <c r="BQ122" s="209"/>
      <c r="BR122" s="209"/>
      <c r="BS122" s="209"/>
      <c r="BV122" s="209"/>
      <c r="BW122" s="209"/>
      <c r="BX122" s="209"/>
      <c r="BY122" s="209"/>
      <c r="BZ122" s="209"/>
      <c r="CA122" s="209"/>
      <c r="CB122" s="209"/>
      <c r="CC122" s="209"/>
      <c r="CD122" s="209"/>
      <c r="CE122" s="209"/>
    </row>
    <row r="123" spans="1:83" x14ac:dyDescent="0.25">
      <c r="A123" s="205"/>
      <c r="Q123" s="842"/>
      <c r="R123" s="842"/>
      <c r="S123" s="842"/>
      <c r="T123" s="842"/>
      <c r="U123" s="842"/>
      <c r="V123" s="842"/>
      <c r="W123" s="842"/>
      <c r="X123" s="299"/>
      <c r="Z123" s="833"/>
      <c r="AA123" s="833"/>
      <c r="AB123" s="833"/>
      <c r="AC123" s="833"/>
      <c r="AD123" s="833"/>
      <c r="AE123" s="833"/>
      <c r="AF123" s="833"/>
      <c r="AG123" s="269"/>
      <c r="AI123" s="833"/>
      <c r="AJ123" s="833"/>
      <c r="AK123" s="833"/>
      <c r="AL123" s="833"/>
      <c r="AM123" s="833"/>
      <c r="AN123" s="833"/>
      <c r="AO123" s="833"/>
      <c r="AP123" s="209"/>
      <c r="AR123" s="858"/>
      <c r="AS123" s="858"/>
      <c r="AT123" s="858"/>
      <c r="AU123" s="858"/>
      <c r="AV123" s="858"/>
      <c r="AW123" s="858"/>
      <c r="AX123" s="858"/>
      <c r="AY123" s="209"/>
      <c r="BA123" s="833"/>
      <c r="BB123" s="833"/>
      <c r="BC123" s="833"/>
      <c r="BD123" s="833"/>
      <c r="BE123" s="833"/>
      <c r="BF123" s="833"/>
      <c r="BG123" s="833"/>
      <c r="BH123" s="299"/>
      <c r="BJ123" s="209"/>
      <c r="BK123" s="209"/>
      <c r="BL123" s="209"/>
      <c r="BM123" s="209"/>
      <c r="BN123" s="209"/>
      <c r="BO123" s="209"/>
      <c r="BP123" s="209"/>
      <c r="BQ123" s="209"/>
      <c r="BR123" s="209"/>
      <c r="BS123" s="209"/>
      <c r="BV123" s="209"/>
      <c r="BW123" s="209"/>
      <c r="BX123" s="209"/>
      <c r="BY123" s="209"/>
      <c r="BZ123" s="209"/>
      <c r="CA123" s="209"/>
      <c r="CB123" s="209"/>
      <c r="CC123" s="209"/>
      <c r="CD123" s="209"/>
      <c r="CE123" s="209"/>
    </row>
    <row r="124" spans="1:83" ht="101.25" customHeight="1" x14ac:dyDescent="0.25">
      <c r="A124" s="205"/>
      <c r="B124" s="600" t="s">
        <v>92</v>
      </c>
      <c r="C124" s="601"/>
      <c r="D124" s="601"/>
      <c r="E124" s="601"/>
      <c r="F124" s="601"/>
      <c r="G124" s="601"/>
      <c r="H124" s="601"/>
      <c r="I124" s="601"/>
      <c r="J124" s="601"/>
      <c r="K124" s="601"/>
      <c r="L124" s="601"/>
      <c r="M124" s="601"/>
      <c r="N124" s="602"/>
      <c r="P124" s="386"/>
      <c r="Q124" s="842"/>
      <c r="R124" s="842"/>
      <c r="S124" s="842"/>
      <c r="T124" s="842"/>
      <c r="U124" s="842"/>
      <c r="V124" s="842"/>
      <c r="W124" s="842"/>
      <c r="X124" s="299"/>
      <c r="Z124" s="833"/>
      <c r="AA124" s="833"/>
      <c r="AB124" s="833"/>
      <c r="AC124" s="833"/>
      <c r="AD124" s="833"/>
      <c r="AE124" s="833"/>
      <c r="AF124" s="833"/>
      <c r="AG124" s="299"/>
      <c r="AI124" s="833"/>
      <c r="AJ124" s="833"/>
      <c r="AK124" s="833"/>
      <c r="AL124" s="833"/>
      <c r="AM124" s="833"/>
      <c r="AN124" s="833"/>
      <c r="AO124" s="833"/>
      <c r="AP124" s="209"/>
      <c r="AR124" s="858"/>
      <c r="AS124" s="858"/>
      <c r="AT124" s="858"/>
      <c r="AU124" s="858"/>
      <c r="AV124" s="858"/>
      <c r="AW124" s="858"/>
      <c r="AX124" s="858"/>
      <c r="AY124" s="209"/>
      <c r="BA124" s="833"/>
      <c r="BB124" s="833"/>
      <c r="BC124" s="833"/>
      <c r="BD124" s="833"/>
      <c r="BE124" s="833"/>
      <c r="BF124" s="833"/>
      <c r="BG124" s="833"/>
      <c r="BH124" s="299"/>
      <c r="BJ124" s="209"/>
      <c r="BK124" s="209"/>
      <c r="BL124" s="209"/>
      <c r="BM124" s="209"/>
      <c r="BN124" s="209"/>
      <c r="BO124" s="209"/>
      <c r="BP124" s="209"/>
      <c r="BQ124" s="209"/>
      <c r="BR124" s="209"/>
      <c r="BS124" s="209"/>
      <c r="BV124" s="209"/>
      <c r="BW124" s="209"/>
      <c r="BX124" s="209"/>
      <c r="BY124" s="209"/>
      <c r="BZ124" s="209"/>
      <c r="CA124" s="209"/>
      <c r="CB124" s="209"/>
      <c r="CC124" s="209"/>
      <c r="CD124" s="209"/>
      <c r="CE124" s="209"/>
    </row>
    <row r="125" spans="1:83" x14ac:dyDescent="0.25">
      <c r="A125" s="205"/>
      <c r="B125" s="585"/>
      <c r="C125" s="585"/>
      <c r="Q125" s="842"/>
      <c r="R125" s="842"/>
      <c r="S125" s="842"/>
      <c r="T125" s="842"/>
      <c r="U125" s="842"/>
      <c r="V125" s="842"/>
      <c r="W125" s="842"/>
      <c r="Z125" s="833"/>
      <c r="AA125" s="833"/>
      <c r="AB125" s="833"/>
      <c r="AC125" s="833"/>
      <c r="AD125" s="833"/>
      <c r="AE125" s="833"/>
      <c r="AF125" s="833"/>
      <c r="AI125" s="833"/>
      <c r="AJ125" s="833"/>
      <c r="AK125" s="833"/>
      <c r="AL125" s="833"/>
      <c r="AM125" s="833"/>
      <c r="AN125" s="833"/>
      <c r="AO125" s="833"/>
      <c r="AR125" s="858"/>
      <c r="AS125" s="858"/>
      <c r="AT125" s="858"/>
      <c r="AU125" s="858"/>
      <c r="AV125" s="858"/>
      <c r="AW125" s="858"/>
      <c r="AX125" s="858"/>
      <c r="BA125" s="833"/>
      <c r="BB125" s="833"/>
      <c r="BC125" s="833"/>
      <c r="BD125" s="833"/>
      <c r="BE125" s="833"/>
      <c r="BF125" s="833"/>
      <c r="BG125" s="833"/>
      <c r="BJ125" s="209"/>
      <c r="BK125" s="209"/>
      <c r="BL125" s="209"/>
      <c r="BM125" s="209"/>
      <c r="BN125" s="209"/>
      <c r="BO125" s="209"/>
      <c r="BP125" s="209"/>
    </row>
    <row r="126" spans="1:83" x14ac:dyDescent="0.25">
      <c r="A126" s="205"/>
    </row>
  </sheetData>
  <sheetProtection algorithmName="SHA-512" hashValue="ouQGb/6PwdqIjPB29d1F6pY7MH/2d4VOjSZGZIHR2yjRs0ZeMCptTLxGlysWFuTx5QBStXhgeiQW2q9/DSfvcw==" saltValue="tR0vIMIXow7w18nBP+emLA==" spinCount="100000" sheet="1" formatRows="0" selectLockedCells="1"/>
  <mergeCells count="269">
    <mergeCell ref="J38:K38"/>
    <mergeCell ref="J39:K39"/>
    <mergeCell ref="C51:E51"/>
    <mergeCell ref="F51:G51"/>
    <mergeCell ref="C52:E52"/>
    <mergeCell ref="F52:G52"/>
    <mergeCell ref="C42:E42"/>
    <mergeCell ref="F42:G42"/>
    <mergeCell ref="C43:E43"/>
    <mergeCell ref="F43:G43"/>
    <mergeCell ref="C44:E44"/>
    <mergeCell ref="F44:G44"/>
    <mergeCell ref="C39:E39"/>
    <mergeCell ref="F39:G39"/>
    <mergeCell ref="C40:E40"/>
    <mergeCell ref="F40:G40"/>
    <mergeCell ref="C41:E41"/>
    <mergeCell ref="F41:G41"/>
    <mergeCell ref="C38:E38"/>
    <mergeCell ref="F38:G38"/>
    <mergeCell ref="C45:E45"/>
    <mergeCell ref="F45:G45"/>
    <mergeCell ref="C46:E46"/>
    <mergeCell ref="F46:G46"/>
    <mergeCell ref="C47:E47"/>
    <mergeCell ref="F47:G47"/>
    <mergeCell ref="C37:K37"/>
    <mergeCell ref="C36:K36"/>
    <mergeCell ref="B57:N57"/>
    <mergeCell ref="B121:N121"/>
    <mergeCell ref="AI111:AO125"/>
    <mergeCell ref="B119:D119"/>
    <mergeCell ref="B120:D120"/>
    <mergeCell ref="Q120:W120"/>
    <mergeCell ref="Q111:W119"/>
    <mergeCell ref="Z111:AA111"/>
    <mergeCell ref="P109:P110"/>
    <mergeCell ref="Q109:W110"/>
    <mergeCell ref="Y109:Y110"/>
    <mergeCell ref="Z109:AF110"/>
    <mergeCell ref="AI109:AO110"/>
    <mergeCell ref="B103:C103"/>
    <mergeCell ref="B104:C104"/>
    <mergeCell ref="AI92:AO94"/>
    <mergeCell ref="B93:D93"/>
    <mergeCell ref="Q93:W94"/>
    <mergeCell ref="Y93:Y94"/>
    <mergeCell ref="Z93:AF94"/>
    <mergeCell ref="BV120:CE120"/>
    <mergeCell ref="B115:C115"/>
    <mergeCell ref="Z115:AA115"/>
    <mergeCell ref="B116:D116"/>
    <mergeCell ref="Z116:AF120"/>
    <mergeCell ref="Y117:Y118"/>
    <mergeCell ref="AH117:AH118"/>
    <mergeCell ref="B112:N112"/>
    <mergeCell ref="Z112:AF112"/>
    <mergeCell ref="B113:D113"/>
    <mergeCell ref="Z113:AF113"/>
    <mergeCell ref="B114:D114"/>
    <mergeCell ref="Z114:AA114"/>
    <mergeCell ref="AQ117:AQ118"/>
    <mergeCell ref="C118:D118"/>
    <mergeCell ref="AR111:AX125"/>
    <mergeCell ref="BA111:BG125"/>
    <mergeCell ref="Q121:W125"/>
    <mergeCell ref="Z121:AF121"/>
    <mergeCell ref="B122:N122"/>
    <mergeCell ref="Z122:AF125"/>
    <mergeCell ref="B124:N124"/>
    <mergeCell ref="B125:C125"/>
    <mergeCell ref="BJ111:BK111"/>
    <mergeCell ref="AQ109:AQ110"/>
    <mergeCell ref="BT107:BU107"/>
    <mergeCell ref="BV107:BZ107"/>
    <mergeCell ref="B108:C108"/>
    <mergeCell ref="R108:V108"/>
    <mergeCell ref="AK108:AO108"/>
    <mergeCell ref="BC108:BG108"/>
    <mergeCell ref="BV108:BZ108"/>
    <mergeCell ref="AR109:AX110"/>
    <mergeCell ref="AZ109:AZ110"/>
    <mergeCell ref="BA109:BG110"/>
    <mergeCell ref="BV110:CE110"/>
    <mergeCell ref="BM105:BQ107"/>
    <mergeCell ref="D107:K107"/>
    <mergeCell ref="P107:Q107"/>
    <mergeCell ref="R107:AA107"/>
    <mergeCell ref="AI107:AJ107"/>
    <mergeCell ref="AK107:AT107"/>
    <mergeCell ref="BA107:BB107"/>
    <mergeCell ref="BC107:BL107"/>
    <mergeCell ref="BJ88:BP88"/>
    <mergeCell ref="BV88:CE88"/>
    <mergeCell ref="B89:N89"/>
    <mergeCell ref="Q89:W89"/>
    <mergeCell ref="BA89:BG89"/>
    <mergeCell ref="BJ89:BP102"/>
    <mergeCell ref="BV89:CE94"/>
    <mergeCell ref="B90:D90"/>
    <mergeCell ref="Q90:R90"/>
    <mergeCell ref="BA90:BG102"/>
    <mergeCell ref="BV96:CE96"/>
    <mergeCell ref="B97:C97"/>
    <mergeCell ref="Q97:W97"/>
    <mergeCell ref="Z97:AF97"/>
    <mergeCell ref="AI97:AO97"/>
    <mergeCell ref="AR97:AX97"/>
    <mergeCell ref="BV97:CE100"/>
    <mergeCell ref="B98:D98"/>
    <mergeCell ref="Q98:W102"/>
    <mergeCell ref="Z98:AF102"/>
    <mergeCell ref="AI98:AO102"/>
    <mergeCell ref="AR98:AX102"/>
    <mergeCell ref="B99:N99"/>
    <mergeCell ref="B100:N100"/>
    <mergeCell ref="B102:N102"/>
    <mergeCell ref="C96:D96"/>
    <mergeCell ref="Z78:AF83"/>
    <mergeCell ref="AI78:AO83"/>
    <mergeCell ref="B91:D91"/>
    <mergeCell ref="B92:C92"/>
    <mergeCell ref="AR93:AX94"/>
    <mergeCell ref="C94:D94"/>
    <mergeCell ref="C95:D95"/>
    <mergeCell ref="Q95:R95"/>
    <mergeCell ref="Z95:AA95"/>
    <mergeCell ref="AI95:AJ95"/>
    <mergeCell ref="AR95:AS95"/>
    <mergeCell ref="AQ93:AQ94"/>
    <mergeCell ref="D86:K86"/>
    <mergeCell ref="Q86:R86"/>
    <mergeCell ref="Z88:AF91"/>
    <mergeCell ref="AI88:AO90"/>
    <mergeCell ref="AR88:AX91"/>
    <mergeCell ref="BV86:BZ86"/>
    <mergeCell ref="CA86:CE87"/>
    <mergeCell ref="R87:W87"/>
    <mergeCell ref="AK87:AO87"/>
    <mergeCell ref="BD87:BH87"/>
    <mergeCell ref="S86:AB86"/>
    <mergeCell ref="AI86:AJ86"/>
    <mergeCell ref="AK86:AT86"/>
    <mergeCell ref="BA86:BB86"/>
    <mergeCell ref="BC86:BL86"/>
    <mergeCell ref="BT86:BU86"/>
    <mergeCell ref="BJ73:BP74"/>
    <mergeCell ref="Z74:AA74"/>
    <mergeCell ref="AC74:AD74"/>
    <mergeCell ref="AE74:AF74"/>
    <mergeCell ref="AI74:AJ74"/>
    <mergeCell ref="AR74:AX83"/>
    <mergeCell ref="B72:M72"/>
    <mergeCell ref="Z72:AF73"/>
    <mergeCell ref="AI72:AO73"/>
    <mergeCell ref="AR72:AX73"/>
    <mergeCell ref="Q73:W74"/>
    <mergeCell ref="BA73:BG74"/>
    <mergeCell ref="B80:D80"/>
    <mergeCell ref="B81:N81"/>
    <mergeCell ref="B82:N82"/>
    <mergeCell ref="B83:N83"/>
    <mergeCell ref="B79:D79"/>
    <mergeCell ref="Q75:W83"/>
    <mergeCell ref="BA75:BG83"/>
    <mergeCell ref="BJ75:BP83"/>
    <mergeCell ref="B76:D76"/>
    <mergeCell ref="Z76:AF77"/>
    <mergeCell ref="AI76:AO77"/>
    <mergeCell ref="B77:D77"/>
    <mergeCell ref="BA63:BB63"/>
    <mergeCell ref="BJ63:BP71"/>
    <mergeCell ref="AR68:AS68"/>
    <mergeCell ref="Z69:AA69"/>
    <mergeCell ref="BA69:BG70"/>
    <mergeCell ref="Q70:W70"/>
    <mergeCell ref="Q71:R71"/>
    <mergeCell ref="BA71:BB71"/>
    <mergeCell ref="B65:C65"/>
    <mergeCell ref="Q66:W66"/>
    <mergeCell ref="Z66:AF68"/>
    <mergeCell ref="AI66:AO67"/>
    <mergeCell ref="AR66:AX67"/>
    <mergeCell ref="BA66:BG66"/>
    <mergeCell ref="B67:M67"/>
    <mergeCell ref="Q67:R67"/>
    <mergeCell ref="BA67:BB67"/>
    <mergeCell ref="AI68:AJ68"/>
    <mergeCell ref="F48:G48"/>
    <mergeCell ref="B63:D63"/>
    <mergeCell ref="Q63:T63"/>
    <mergeCell ref="Z63:AA63"/>
    <mergeCell ref="AI63:AJ63"/>
    <mergeCell ref="AR63:AS63"/>
    <mergeCell ref="C49:E49"/>
    <mergeCell ref="F49:G49"/>
    <mergeCell ref="C50:E50"/>
    <mergeCell ref="F50:G50"/>
    <mergeCell ref="B62:N62"/>
    <mergeCell ref="Q62:W62"/>
    <mergeCell ref="Z62:AF62"/>
    <mergeCell ref="AI62:AO62"/>
    <mergeCell ref="AR62:AX62"/>
    <mergeCell ref="BA62:BG62"/>
    <mergeCell ref="BJ62:BP62"/>
    <mergeCell ref="L41:N41"/>
    <mergeCell ref="L42:N42"/>
    <mergeCell ref="L43:N43"/>
    <mergeCell ref="L44:N44"/>
    <mergeCell ref="L45:N45"/>
    <mergeCell ref="L46:N46"/>
    <mergeCell ref="L47:N47"/>
    <mergeCell ref="BD58:BK58"/>
    <mergeCell ref="BL58:BP59"/>
    <mergeCell ref="J59:N59"/>
    <mergeCell ref="R59:W59"/>
    <mergeCell ref="AK59:AO59"/>
    <mergeCell ref="BD59:BH59"/>
    <mergeCell ref="D58:K58"/>
    <mergeCell ref="P58:Q58"/>
    <mergeCell ref="R58:AA58"/>
    <mergeCell ref="AI58:AJ58"/>
    <mergeCell ref="AK58:AT58"/>
    <mergeCell ref="BB58:BC58"/>
    <mergeCell ref="C53:E53"/>
    <mergeCell ref="F53:G53"/>
    <mergeCell ref="C48:E48"/>
    <mergeCell ref="D2:L2"/>
    <mergeCell ref="A5:F5"/>
    <mergeCell ref="B7:N7"/>
    <mergeCell ref="B8:N8"/>
    <mergeCell ref="E13:M13"/>
    <mergeCell ref="D19:M19"/>
    <mergeCell ref="J33:N33"/>
    <mergeCell ref="B11:K11"/>
    <mergeCell ref="L11:N11"/>
    <mergeCell ref="D21:E21"/>
    <mergeCell ref="F21:G21"/>
    <mergeCell ref="D24:F24"/>
    <mergeCell ref="B9:N9"/>
    <mergeCell ref="B10:N10"/>
    <mergeCell ref="C27:F27"/>
    <mergeCell ref="C15:N15"/>
    <mergeCell ref="C31:I31"/>
    <mergeCell ref="C29:F29"/>
    <mergeCell ref="C34:G34"/>
    <mergeCell ref="H34:I34"/>
    <mergeCell ref="L48:N48"/>
    <mergeCell ref="L49:N49"/>
    <mergeCell ref="L50:N50"/>
    <mergeCell ref="L51:N51"/>
    <mergeCell ref="L52:N52"/>
    <mergeCell ref="L53:N53"/>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L39:N39"/>
    <mergeCell ref="L40:N40"/>
  </mergeCells>
  <conditionalFormatting sqref="B99:C99">
    <cfRule type="expression" dxfId="423" priority="1027" stopIfTrue="1">
      <formula>AND(N98&gt;=0.7,N98&lt;&gt;0,N98&lt;=100%,B100="")</formula>
    </cfRule>
    <cfRule type="expression" dxfId="422" priority="1047" stopIfTrue="1">
      <formula>AND(N97&lt;&gt;"",N98&lt;0.7,B100="")</formula>
    </cfRule>
  </conditionalFormatting>
  <conditionalFormatting sqref="E63:E66 E113:E118 F71:M71 E68:E71 E73:E78 F76:M78 E95 F64:M65 F93:N93 E97:N97 E119:M119 F113:M116 F90:M92 E90:E93">
    <cfRule type="expression" dxfId="421" priority="454">
      <formula>AND($D$4&lt;&gt;YEAR($E$65), $E$65&lt;&gt;0)</formula>
    </cfRule>
  </conditionalFormatting>
  <conditionalFormatting sqref="N80">
    <cfRule type="expression" dxfId="420" priority="1004">
      <formula>AND($N$80&lt;0.7,$N$79&lt;=100%,$B$82="")</formula>
    </cfRule>
    <cfRule type="expression" dxfId="419" priority="1005">
      <formula>AND($N$80&gt;=0.7,$B$82="")</formula>
    </cfRule>
  </conditionalFormatting>
  <conditionalFormatting sqref="N98">
    <cfRule type="expression" dxfId="418" priority="988">
      <formula>AND($N$98&gt;=0.7,$N$98&lt;=100%,$B$100="")</formula>
    </cfRule>
    <cfRule type="expression" dxfId="417" priority="993">
      <formula>AND($N$97&lt;&gt;"",$N$98&lt;0.7,$B$100="")</formula>
    </cfRule>
  </conditionalFormatting>
  <conditionalFormatting sqref="B100">
    <cfRule type="expression" dxfId="416" priority="1050">
      <formula>B100&gt;""</formula>
    </cfRule>
  </conditionalFormatting>
  <conditionalFormatting sqref="G78 G80">
    <cfRule type="expression" dxfId="415" priority="1028" stopIfTrue="1">
      <formula>AND($G$79&gt;100%,$G$78&lt;&gt;"")</formula>
    </cfRule>
  </conditionalFormatting>
  <conditionalFormatting sqref="B82:N82">
    <cfRule type="expression" dxfId="414" priority="1011">
      <formula>B82&gt;""</formula>
    </cfRule>
  </conditionalFormatting>
  <conditionalFormatting sqref="F63 F117:F118 F73:F75 F95 F68:F70 F66 E96">
    <cfRule type="expression" dxfId="413" priority="1010">
      <formula>AND($D$4&lt;&gt;YEAR($F$65), $F$65&lt;&gt;0)</formula>
    </cfRule>
  </conditionalFormatting>
  <conditionalFormatting sqref="F66 F78 F80">
    <cfRule type="expression" dxfId="412" priority="1009" stopIfTrue="1">
      <formula>AND($F$79&gt;100%,$F$78&lt;&gt;"")</formula>
    </cfRule>
  </conditionalFormatting>
  <conditionalFormatting sqref="G63 G117:G118 G73:G75 G68:G70 G95:G96 G66">
    <cfRule type="expression" dxfId="411" priority="1006">
      <formula>AND($D$4&lt;&gt;YEAR($G$65), $G$65&lt;&gt;0)</formula>
    </cfRule>
  </conditionalFormatting>
  <conditionalFormatting sqref="H63 H117:H118 H73:H75 H68:H70 H95:H96 H66">
    <cfRule type="expression" dxfId="410" priority="472">
      <formula>AND($D$4&lt;&gt;YEAR($H$65), $H$65&lt;&gt;0)</formula>
    </cfRule>
  </conditionalFormatting>
  <conditionalFormatting sqref="H66 H78 H80">
    <cfRule type="expression" dxfId="409" priority="1003">
      <formula>AND($H$79&gt;100%,$H$78&lt;&gt;"")</formula>
    </cfRule>
  </conditionalFormatting>
  <conditionalFormatting sqref="I63 I117:I118 I73:I75 I68:I70 I95:I96 I66">
    <cfRule type="expression" dxfId="408" priority="1002">
      <formula>AND($D$4&lt;&gt;YEAR($I$65), $I$65&lt;&gt;0)</formula>
    </cfRule>
  </conditionalFormatting>
  <conditionalFormatting sqref="J63 J117:J118 J73:J75 J68:J70 J95:J96 J66">
    <cfRule type="expression" dxfId="407" priority="470">
      <formula>AND($D$4&lt;&gt;YEAR($J$65), $J$65&lt;&gt;0)</formula>
    </cfRule>
  </conditionalFormatting>
  <conditionalFormatting sqref="K63 K117:K118 K73:K75 K68:K70 K95:K96 K66">
    <cfRule type="expression" dxfId="406" priority="1001">
      <formula>AND($D$4&lt;&gt;YEAR($K$65), $K$65&lt;&gt;0)</formula>
    </cfRule>
  </conditionalFormatting>
  <conditionalFormatting sqref="L63 L117:L118 L73:L75 L68:L70 L95:L96 L66">
    <cfRule type="expression" dxfId="405" priority="1000">
      <formula>AND($D$4&lt;&gt;YEAR($L$65), $L$65&lt;&gt;0)</formula>
    </cfRule>
  </conditionalFormatting>
  <conditionalFormatting sqref="M63 M117:M118 M73:M75 M68:M70 M95:M96 M66">
    <cfRule type="expression" dxfId="404" priority="467">
      <formula>AND($D$4&lt;&gt;YEAR($M$65), $M$65&lt;&gt;0)</formula>
    </cfRule>
  </conditionalFormatting>
  <conditionalFormatting sqref="I66 I78 I80">
    <cfRule type="expression" dxfId="403" priority="999">
      <formula>AND($I$79&gt;100%,$I$78&lt;&gt;"")</formula>
    </cfRule>
  </conditionalFormatting>
  <conditionalFormatting sqref="K66 K78 K80">
    <cfRule type="expression" dxfId="402" priority="998">
      <formula>AND($K$79&gt;100%,$K$78&lt;&gt;"")</formula>
    </cfRule>
  </conditionalFormatting>
  <conditionalFormatting sqref="L66 L78 L80">
    <cfRule type="expression" dxfId="401" priority="997">
      <formula>AND($L$79&gt;100%,$L$78&lt;&gt;"")</formula>
    </cfRule>
  </conditionalFormatting>
  <conditionalFormatting sqref="M66 M78 M80">
    <cfRule type="expression" dxfId="400" priority="996">
      <formula>AND($M$79&gt;100%,$M$78&lt;&gt;"")</formula>
    </cfRule>
  </conditionalFormatting>
  <conditionalFormatting sqref="J66 J78 J80">
    <cfRule type="expression" dxfId="399" priority="995">
      <formula>AND($J$79&gt;100%,$J$78&lt;&gt;"")</formula>
    </cfRule>
  </conditionalFormatting>
  <conditionalFormatting sqref="F80">
    <cfRule type="expression" dxfId="398" priority="1007">
      <formula>AND($F$80&gt;=0.7,$F$80&lt;&gt;"",$B$82="")</formula>
    </cfRule>
    <cfRule type="expression" dxfId="397" priority="1008">
      <formula>AND($F$80&lt;0.7,$F$79&lt;=100%,$F$79&gt;0,$B$82="")</formula>
    </cfRule>
  </conditionalFormatting>
  <conditionalFormatting sqref="E80">
    <cfRule type="expression" dxfId="396" priority="991">
      <formula>AND($E$80&lt;0.7,$E$79&lt;=100%,$E$79&gt;0,$B$82="")</formula>
    </cfRule>
    <cfRule type="expression" dxfId="395" priority="992">
      <formula>AND($E$80&gt;=0.7,$E$80&lt;&gt;"",$B$82="")</formula>
    </cfRule>
  </conditionalFormatting>
  <conditionalFormatting sqref="Q63">
    <cfRule type="expression" dxfId="394" priority="987">
      <formula>P62&lt;&gt;""</formula>
    </cfRule>
  </conditionalFormatting>
  <conditionalFormatting sqref="Q67">
    <cfRule type="expression" dxfId="393" priority="986">
      <formula>P62&lt;&gt;""</formula>
    </cfRule>
  </conditionalFormatting>
  <conditionalFormatting sqref="Q71">
    <cfRule type="expression" dxfId="392" priority="949">
      <formula>P62&lt;&gt;""</formula>
    </cfRule>
  </conditionalFormatting>
  <conditionalFormatting sqref="Q75:W83">
    <cfRule type="expression" dxfId="391" priority="948">
      <formula>P62&lt;&gt;""</formula>
    </cfRule>
  </conditionalFormatting>
  <conditionalFormatting sqref="Z63">
    <cfRule type="expression" dxfId="390" priority="947">
      <formula>P62&lt;&gt;""</formula>
    </cfRule>
  </conditionalFormatting>
  <conditionalFormatting sqref="Z69">
    <cfRule type="expression" dxfId="389" priority="946">
      <formula>P62&lt;&gt;""</formula>
    </cfRule>
  </conditionalFormatting>
  <conditionalFormatting sqref="Z74">
    <cfRule type="expression" dxfId="388" priority="945">
      <formula>P62&lt;&gt;""</formula>
    </cfRule>
  </conditionalFormatting>
  <conditionalFormatting sqref="AE74">
    <cfRule type="expression" dxfId="387" priority="944">
      <formula>($Z$74="No")</formula>
    </cfRule>
  </conditionalFormatting>
  <conditionalFormatting sqref="Z78:AF83">
    <cfRule type="expression" dxfId="386" priority="943">
      <formula>P62&lt;&gt;""</formula>
    </cfRule>
  </conditionalFormatting>
  <conditionalFormatting sqref="AI63">
    <cfRule type="expression" dxfId="385" priority="942">
      <formula>P62&lt;&gt;""</formula>
    </cfRule>
  </conditionalFormatting>
  <conditionalFormatting sqref="AI68">
    <cfRule type="expression" dxfId="384" priority="941">
      <formula>AI63="Yes"</formula>
    </cfRule>
  </conditionalFormatting>
  <conditionalFormatting sqref="AI74 AI78:AO83">
    <cfRule type="expression" dxfId="383" priority="940">
      <formula>$AI$63="Yes"</formula>
    </cfRule>
  </conditionalFormatting>
  <conditionalFormatting sqref="AI66:AO67">
    <cfRule type="expression" dxfId="382" priority="939">
      <formula>$AI$63="No"</formula>
    </cfRule>
  </conditionalFormatting>
  <conditionalFormatting sqref="AI72:AO73">
    <cfRule type="expression" dxfId="381" priority="938">
      <formula>$AI$63="No"</formula>
    </cfRule>
  </conditionalFormatting>
  <conditionalFormatting sqref="AI76:AO77">
    <cfRule type="expression" dxfId="380" priority="937">
      <formula>$AI$63="No"</formula>
    </cfRule>
  </conditionalFormatting>
  <conditionalFormatting sqref="AR63">
    <cfRule type="expression" dxfId="379" priority="936">
      <formula>AQ62&lt;&gt;""</formula>
    </cfRule>
  </conditionalFormatting>
  <conditionalFormatting sqref="AR68">
    <cfRule type="expression" dxfId="378" priority="935">
      <formula>AQ62&lt;&gt;""</formula>
    </cfRule>
  </conditionalFormatting>
  <conditionalFormatting sqref="AR72:AX73">
    <cfRule type="expression" dxfId="377" priority="934">
      <formula>AND($AR$63="No",$AR$68="No")</formula>
    </cfRule>
  </conditionalFormatting>
  <conditionalFormatting sqref="AR74:AX83">
    <cfRule type="expression" dxfId="376" priority="933">
      <formula>AND($AR$72&lt;&gt;"",$AR$72&lt;&gt;"          Proceed to the next question to the right ==&gt;")</formula>
    </cfRule>
  </conditionalFormatting>
  <conditionalFormatting sqref="BA63">
    <cfRule type="expression" dxfId="375" priority="932">
      <formula>AZ62&lt;&gt;""</formula>
    </cfRule>
  </conditionalFormatting>
  <conditionalFormatting sqref="BA67">
    <cfRule type="expression" dxfId="374" priority="931">
      <formula>AZ66&lt;&gt;""</formula>
    </cfRule>
  </conditionalFormatting>
  <conditionalFormatting sqref="BA71">
    <cfRule type="expression" dxfId="373" priority="930">
      <formula>BA67="Yes"</formula>
    </cfRule>
  </conditionalFormatting>
  <conditionalFormatting sqref="BA75:BG83">
    <cfRule type="expression" dxfId="372" priority="929">
      <formula>AND($BA$73&lt;&gt;"",$BA$73&lt;&gt;"          Complete additional questions to the right ==&gt;")</formula>
    </cfRule>
  </conditionalFormatting>
  <conditionalFormatting sqref="BA73:BG74">
    <cfRule type="expression" dxfId="371" priority="928">
      <formula>AND($BA$63="No",$BA$67="No")</formula>
    </cfRule>
  </conditionalFormatting>
  <conditionalFormatting sqref="BJ63:BP71">
    <cfRule type="expression" dxfId="370" priority="927">
      <formula>$BI$62&lt;&gt;""</formula>
    </cfRule>
  </conditionalFormatting>
  <conditionalFormatting sqref="BJ75:BP83">
    <cfRule type="expression" dxfId="369" priority="926">
      <formula>$BI$73&lt;&gt;""</formula>
    </cfRule>
  </conditionalFormatting>
  <conditionalFormatting sqref="AG119:AG120">
    <cfRule type="expression" dxfId="368" priority="925">
      <formula>AND(U120&lt;0.7,U120&lt;&gt;0,I122="")</formula>
    </cfRule>
  </conditionalFormatting>
  <conditionalFormatting sqref="AP121">
    <cfRule type="expression" dxfId="367" priority="924">
      <formula>AP119="Yes"</formula>
    </cfRule>
  </conditionalFormatting>
  <conditionalFormatting sqref="B121:D121">
    <cfRule type="expression" dxfId="366" priority="918" stopIfTrue="1">
      <formula>AND(N120&gt;=0.7,B121&lt;&gt;"")</formula>
    </cfRule>
    <cfRule type="expression" dxfId="365" priority="921" stopIfTrue="1">
      <formula>AND(N120&lt;0.7,B121&lt;&gt;"")</formula>
    </cfRule>
  </conditionalFormatting>
  <conditionalFormatting sqref="N120">
    <cfRule type="expression" dxfId="364" priority="914">
      <formula>AND($N$120&gt;=0.7,$N$120&lt;=100%,$B$122="")</formula>
    </cfRule>
    <cfRule type="expression" dxfId="363" priority="916">
      <formula>AND($N$117&lt;&gt;"",$N$118&lt;&gt;"",$N$120&lt;0.7,$N$120&lt;&gt;"",$B$122="")</formula>
    </cfRule>
  </conditionalFormatting>
  <conditionalFormatting sqref="B122">
    <cfRule type="expression" dxfId="362" priority="922">
      <formula>B122&gt;""</formula>
    </cfRule>
  </conditionalFormatting>
  <conditionalFormatting sqref="E116 E119:E120">
    <cfRule type="expression" dxfId="361" priority="919" stopIfTrue="1">
      <formula>AND($E$120&gt;100%,$E$119&lt;&gt;"")</formula>
    </cfRule>
  </conditionalFormatting>
  <conditionalFormatting sqref="F116 F119:F120">
    <cfRule type="expression" dxfId="360" priority="915">
      <formula>AND($F$120&gt;100%,$F$119&lt;&gt;"")</formula>
    </cfRule>
  </conditionalFormatting>
  <conditionalFormatting sqref="H116 H119:H120">
    <cfRule type="expression" dxfId="359" priority="913">
      <formula>AND($H$120&gt;100%,$H$119&lt;&gt;"")</formula>
    </cfRule>
  </conditionalFormatting>
  <conditionalFormatting sqref="J116 J119:J120">
    <cfRule type="expression" dxfId="358" priority="912">
      <formula>AND($J$120&gt;100%,$J$119&lt;&gt;"")</formula>
    </cfRule>
  </conditionalFormatting>
  <conditionalFormatting sqref="K116 K119:K120">
    <cfRule type="expression" dxfId="357" priority="911">
      <formula>AND($K$120&gt;100%,$K$119&lt;&gt;"")</formula>
    </cfRule>
  </conditionalFormatting>
  <conditionalFormatting sqref="L116 L119:L120">
    <cfRule type="expression" dxfId="356" priority="910">
      <formula>AND($L$120&gt;100%,$L$119&lt;&gt;"")</formula>
    </cfRule>
  </conditionalFormatting>
  <conditionalFormatting sqref="Z111">
    <cfRule type="expression" dxfId="355" priority="909">
      <formula>$P$109&lt;&gt;""</formula>
    </cfRule>
  </conditionalFormatting>
  <conditionalFormatting sqref="Z121">
    <cfRule type="expression" dxfId="354" priority="908">
      <formula>AND(N122&lt;0.7,N122&lt;&gt;0,B124="")</formula>
    </cfRule>
  </conditionalFormatting>
  <conditionalFormatting sqref="Z122">
    <cfRule type="expression" dxfId="353" priority="923">
      <formula>Z111="Yes"</formula>
    </cfRule>
  </conditionalFormatting>
  <conditionalFormatting sqref="G116 G119:G120">
    <cfRule type="expression" dxfId="352" priority="824">
      <formula>AND($G$120&gt;100%,$G$119&lt;&gt;"")</formula>
    </cfRule>
  </conditionalFormatting>
  <conditionalFormatting sqref="I116 I119:I120">
    <cfRule type="expression" dxfId="351" priority="823">
      <formula>AND($I$120&gt;100%,$I$119&lt;&gt;"")</formula>
    </cfRule>
  </conditionalFormatting>
  <conditionalFormatting sqref="M116 M119:M120">
    <cfRule type="expression" dxfId="350" priority="822">
      <formula>AND($M$120&gt;100%,$M$119&lt;&gt;"")</formula>
    </cfRule>
  </conditionalFormatting>
  <conditionalFormatting sqref="H66">
    <cfRule type="expression" dxfId="349" priority="813">
      <formula>AND($H$79&gt;100%,$H$78&lt;&gt;"")</formula>
    </cfRule>
  </conditionalFormatting>
  <conditionalFormatting sqref="I66">
    <cfRule type="expression" dxfId="348" priority="812">
      <formula>AND($I$79&gt;100%,$I$78&lt;&gt;"")</formula>
    </cfRule>
  </conditionalFormatting>
  <conditionalFormatting sqref="J66">
    <cfRule type="expression" dxfId="347" priority="811">
      <formula>AND($J$79&gt;100%,$J$78&lt;&gt;"")</formula>
    </cfRule>
  </conditionalFormatting>
  <conditionalFormatting sqref="K66">
    <cfRule type="expression" dxfId="346" priority="810">
      <formula>AND($K$79&gt;100%,$K$78&lt;&gt;"")</formula>
    </cfRule>
  </conditionalFormatting>
  <conditionalFormatting sqref="L66">
    <cfRule type="expression" dxfId="345" priority="809">
      <formula>AND($L$79&gt;100%,$L$78&lt;&gt;"")</formula>
    </cfRule>
  </conditionalFormatting>
  <conditionalFormatting sqref="M66">
    <cfRule type="expression" dxfId="344" priority="808">
      <formula>AND($M$79&gt;100%,$M$78&lt;&gt;"")</formula>
    </cfRule>
  </conditionalFormatting>
  <conditionalFormatting sqref="G80">
    <cfRule type="expression" dxfId="343" priority="989">
      <formula>AND($G$80&gt;=0.7,$G$80&lt;&gt;"",$B$82="")</formula>
    </cfRule>
    <cfRule type="expression" dxfId="342" priority="990">
      <formula>AND($G$80&lt;0.7,$G$79&lt;=100%,$G$79&gt;0,$B$82="")</formula>
    </cfRule>
  </conditionalFormatting>
  <conditionalFormatting sqref="H80">
    <cfRule type="expression" dxfId="341" priority="536">
      <formula>AND($H$80&gt;=0.7,$H$80&lt;&gt;"",$B$82="")</formula>
    </cfRule>
    <cfRule type="expression" dxfId="340" priority="733">
      <formula>AND($H$80&lt;0.7,$H$79&lt;=100%,$H$79&gt;0,$B$82="")</formula>
    </cfRule>
  </conditionalFormatting>
  <conditionalFormatting sqref="I80">
    <cfRule type="expression" dxfId="339" priority="535">
      <formula>AND($I$80&gt;=0.7,$I$80&lt;&gt;"",$B$82="")</formula>
    </cfRule>
    <cfRule type="expression" dxfId="338" priority="732">
      <formula>AND($I$80&lt;0.7,$I$79&lt;=100%,$I$79&gt;0,$B$82="")</formula>
    </cfRule>
  </conditionalFormatting>
  <conditionalFormatting sqref="J80">
    <cfRule type="expression" dxfId="337" priority="534">
      <formula>AND($J$80&gt;=0.7,$J$80&lt;&gt;"",$B$82="")</formula>
    </cfRule>
    <cfRule type="expression" dxfId="336" priority="731">
      <formula>AND($J$80&lt;0.7,$J$79&lt;=100%,$J$79&gt;0,$B$82="")</formula>
    </cfRule>
  </conditionalFormatting>
  <conditionalFormatting sqref="K80">
    <cfRule type="expression" dxfId="335" priority="533">
      <formula>AND($K$80&gt;=0.7,$K$80&lt;&gt;"",$B$82="")</formula>
    </cfRule>
    <cfRule type="expression" dxfId="334" priority="730">
      <formula>AND($K$80&lt;0.7,$K$79&lt;=100%,$K$79&gt;0,$B$82="")</formula>
    </cfRule>
  </conditionalFormatting>
  <conditionalFormatting sqref="L80">
    <cfRule type="expression" dxfId="333" priority="532">
      <formula>AND($L$80&gt;=0.7,$L$80&lt;&gt;"",$B$82="")</formula>
    </cfRule>
    <cfRule type="expression" dxfId="332" priority="729">
      <formula>AND($L$80&lt;0.7,$L$79&lt;=100%,$L$79&gt;0,$B$82="")</formula>
    </cfRule>
  </conditionalFormatting>
  <conditionalFormatting sqref="M80">
    <cfRule type="expression" dxfId="331" priority="531">
      <formula>AND($M$80&gt;=0.7,$M$80&lt;&gt;"",$B$82="")</formula>
    </cfRule>
    <cfRule type="expression" dxfId="330" priority="728">
      <formula>AND($M$80&lt;0.7,$M$79&lt;=100%,$M$79&gt;0,$B$82="")</formula>
    </cfRule>
  </conditionalFormatting>
  <conditionalFormatting sqref="BL58">
    <cfRule type="expression" dxfId="329" priority="644">
      <formula>P62&lt;&gt;""</formula>
    </cfRule>
  </conditionalFormatting>
  <conditionalFormatting sqref="E78:E80 F79:M79">
    <cfRule type="expression" dxfId="328" priority="643">
      <formula>AND($E$79&gt;100%,$E$78&lt;&gt;"")</formula>
    </cfRule>
  </conditionalFormatting>
  <conditionalFormatting sqref="F78 F80">
    <cfRule type="expression" dxfId="327" priority="642">
      <formula>AND($F$79&gt;100%,$F$78&lt;&gt;"")</formula>
    </cfRule>
  </conditionalFormatting>
  <conditionalFormatting sqref="Q121:W125">
    <cfRule type="expression" dxfId="326" priority="611">
      <formula>P109&lt;&gt;""</formula>
    </cfRule>
  </conditionalFormatting>
  <conditionalFormatting sqref="Q111:R111">
    <cfRule type="expression" dxfId="325" priority="610">
      <formula>$P$109&lt;&gt;""</formula>
    </cfRule>
  </conditionalFormatting>
  <conditionalFormatting sqref="Z112:AF112">
    <cfRule type="expression" dxfId="324" priority="609">
      <formula>Z111="No"</formula>
    </cfRule>
  </conditionalFormatting>
  <conditionalFormatting sqref="Z114:AA114">
    <cfRule type="expression" dxfId="323" priority="608">
      <formula>Z111="Yes"</formula>
    </cfRule>
  </conditionalFormatting>
  <conditionalFormatting sqref="Z116:AF120">
    <cfRule type="expression" dxfId="322" priority="607">
      <formula>Z111="Yes"</formula>
    </cfRule>
  </conditionalFormatting>
  <conditionalFormatting sqref="AI111:AO125">
    <cfRule type="expression" dxfId="321" priority="606">
      <formula>$P$109&lt;&gt;""</formula>
    </cfRule>
  </conditionalFormatting>
  <conditionalFormatting sqref="AR111:AX125">
    <cfRule type="expression" dxfId="320" priority="605">
      <formula>P109&lt;&gt;""</formula>
    </cfRule>
  </conditionalFormatting>
  <conditionalFormatting sqref="BA111">
    <cfRule type="expression" dxfId="319" priority="604">
      <formula>P109&lt;&gt;""</formula>
    </cfRule>
  </conditionalFormatting>
  <conditionalFormatting sqref="BM108:BQ108">
    <cfRule type="expression" dxfId="318" priority="603">
      <formula>P111&lt;&gt;""</formula>
    </cfRule>
  </conditionalFormatting>
  <conditionalFormatting sqref="O17">
    <cfRule type="expression" dxfId="317" priority="1070">
      <formula>P17=1</formula>
    </cfRule>
  </conditionalFormatting>
  <conditionalFormatting sqref="O80">
    <cfRule type="expression" dxfId="316" priority="583">
      <formula>P80=1</formula>
    </cfRule>
  </conditionalFormatting>
  <conditionalFormatting sqref="O75">
    <cfRule type="expression" dxfId="315" priority="582">
      <formula>P75=1</formula>
    </cfRule>
  </conditionalFormatting>
  <conditionalFormatting sqref="O74">
    <cfRule type="expression" dxfId="314" priority="581">
      <formula>P74=1</formula>
    </cfRule>
  </conditionalFormatting>
  <conditionalFormatting sqref="O73">
    <cfRule type="expression" dxfId="313" priority="580">
      <formula>P73=1</formula>
    </cfRule>
  </conditionalFormatting>
  <conditionalFormatting sqref="O70">
    <cfRule type="expression" dxfId="312" priority="579">
      <formula>$O$70&lt;&gt;""</formula>
    </cfRule>
  </conditionalFormatting>
  <conditionalFormatting sqref="O69">
    <cfRule type="expression" dxfId="311" priority="578">
      <formula>P69=1</formula>
    </cfRule>
  </conditionalFormatting>
  <conditionalFormatting sqref="O68">
    <cfRule type="expression" dxfId="310" priority="577">
      <formula>P68=1</formula>
    </cfRule>
  </conditionalFormatting>
  <conditionalFormatting sqref="O19">
    <cfRule type="expression" dxfId="309" priority="575">
      <formula>P19=1</formula>
    </cfRule>
  </conditionalFormatting>
  <conditionalFormatting sqref="O21">
    <cfRule type="expression" dxfId="308" priority="574">
      <formula>P21=1</formula>
    </cfRule>
  </conditionalFormatting>
  <conditionalFormatting sqref="O24">
    <cfRule type="expression" dxfId="307" priority="573">
      <formula>P24=1</formula>
    </cfRule>
  </conditionalFormatting>
  <conditionalFormatting sqref="O117">
    <cfRule type="expression" dxfId="306" priority="541">
      <formula>P117=1</formula>
    </cfRule>
  </conditionalFormatting>
  <conditionalFormatting sqref="O118">
    <cfRule type="expression" dxfId="305" priority="540">
      <formula>P118=1</formula>
    </cfRule>
  </conditionalFormatting>
  <conditionalFormatting sqref="O120">
    <cfRule type="expression" dxfId="304" priority="539">
      <formula>P119=1</formula>
    </cfRule>
  </conditionalFormatting>
  <conditionalFormatting sqref="B81:N81">
    <cfRule type="expression" dxfId="303" priority="529">
      <formula>AND(N80&gt;=0.7,B81&lt;&gt;"")</formula>
    </cfRule>
    <cfRule type="expression" dxfId="302" priority="530">
      <formula>AND(N80&lt;0.7,B81&lt;&gt;"")</formula>
    </cfRule>
  </conditionalFormatting>
  <conditionalFormatting sqref="BR106">
    <cfRule type="expression" dxfId="301" priority="1071">
      <formula>T109&lt;&gt;""</formula>
    </cfRule>
  </conditionalFormatting>
  <conditionalFormatting sqref="E120">
    <cfRule type="expression" dxfId="300" priority="917" stopIfTrue="1">
      <formula>AND($E$120&gt;=0.7,$E$120&lt;=100%,$B$122="")</formula>
    </cfRule>
    <cfRule type="expression" dxfId="299" priority="920" stopIfTrue="1">
      <formula>AND($E$120&lt;0.7,$E$117&lt;&gt;"",$E$118&lt;&gt;"",$B$122="")</formula>
    </cfRule>
  </conditionalFormatting>
  <conditionalFormatting sqref="F120">
    <cfRule type="expression" dxfId="298" priority="388">
      <formula>AND($F$120&gt;100%,$F$119&lt;&gt;"")</formula>
    </cfRule>
    <cfRule type="expression" dxfId="297" priority="487">
      <formula>AND($F$120&gt;=0.7,$F$120&lt;=100%,$B$122="")</formula>
    </cfRule>
    <cfRule type="expression" dxfId="296" priority="495">
      <formula>AND($F$120&lt;0.7,$F$117&lt;&gt;"",$F$118&lt;&gt;"",$B$122="")</formula>
    </cfRule>
  </conditionalFormatting>
  <conditionalFormatting sqref="G120">
    <cfRule type="expression" dxfId="295" priority="387">
      <formula>AND($G$120&gt;100%,$G$119&lt;&gt;"")</formula>
    </cfRule>
    <cfRule type="expression" dxfId="294" priority="486">
      <formula>AND($G$120&gt;=0.7,$G$120&lt;=100%,$B$122="")</formula>
    </cfRule>
    <cfRule type="expression" dxfId="293" priority="494">
      <formula>AND($G$120&lt;0.7,$G$117&lt;&gt;"",$G$118&lt;&gt;"",$B$122="")</formula>
    </cfRule>
  </conditionalFormatting>
  <conditionalFormatting sqref="H120">
    <cfRule type="expression" dxfId="292" priority="386">
      <formula>AND($H$120&gt;100%,$H$119&lt;&gt;"")</formula>
    </cfRule>
    <cfRule type="expression" dxfId="291" priority="485">
      <formula>AND($H$120&gt;=0.7,$H$120&lt;=100%,$B$122="")</formula>
    </cfRule>
    <cfRule type="expression" dxfId="290" priority="493">
      <formula>AND($H$120&lt;0.7,$H$117&lt;&gt;"",$H$118&lt;&gt;"",$B$122="")</formula>
    </cfRule>
  </conditionalFormatting>
  <conditionalFormatting sqref="I120">
    <cfRule type="expression" dxfId="289" priority="385">
      <formula>AND($I$120&gt;100%,$I$119&lt;&gt;"")</formula>
    </cfRule>
    <cfRule type="expression" dxfId="288" priority="484">
      <formula>AND($I$120&gt;=0.7,$I$120&lt;=100%,$B$122="")</formula>
    </cfRule>
    <cfRule type="expression" dxfId="287" priority="492">
      <formula>AND($I$120&lt;0.7,$I$117&lt;&gt;"",$I$118&lt;&gt;"",$B$122="")</formula>
    </cfRule>
  </conditionalFormatting>
  <conditionalFormatting sqref="J120">
    <cfRule type="expression" dxfId="286" priority="384">
      <formula>AND($J$120&gt;100%,$J$119&lt;&gt;"")</formula>
    </cfRule>
    <cfRule type="expression" dxfId="285" priority="483">
      <formula>AND($J$120&gt;=0.7,$J$120&lt;=100%,$B$122="")</formula>
    </cfRule>
    <cfRule type="expression" dxfId="284" priority="491">
      <formula>AND($J$120&lt;0.7,$J$117&lt;&gt;"",$J$118&lt;&gt;"",$B$122="")</formula>
    </cfRule>
  </conditionalFormatting>
  <conditionalFormatting sqref="K120">
    <cfRule type="expression" dxfId="283" priority="383">
      <formula>AND($K$120&gt;100%,$K$119&lt;&gt;"")</formula>
    </cfRule>
    <cfRule type="expression" dxfId="282" priority="482">
      <formula>AND($K$120&gt;=0.7,$K$120&lt;=100%,$B$122="")</formula>
    </cfRule>
    <cfRule type="expression" dxfId="281" priority="490">
      <formula>AND($K$120&lt;0.7,$K$117&lt;&gt;"",$K$118&lt;&gt;"",$B$122="")</formula>
    </cfRule>
  </conditionalFormatting>
  <conditionalFormatting sqref="L120">
    <cfRule type="expression" dxfId="280" priority="382">
      <formula>AND($L$120&gt;100%,$L$119&lt;&gt;"")</formula>
    </cfRule>
    <cfRule type="expression" dxfId="279" priority="481">
      <formula>AND($L$120&gt;=0.7,$L$120&lt;=100%,$B$122="")</formula>
    </cfRule>
    <cfRule type="expression" dxfId="278" priority="489">
      <formula>AND($L$120&lt;0.7,$L$117&lt;&gt;"",$L$118&lt;&gt;"",$B$122="")</formula>
    </cfRule>
  </conditionalFormatting>
  <conditionalFormatting sqref="M120">
    <cfRule type="expression" dxfId="277" priority="381">
      <formula>AND($M$120&gt;100%,$M$119&lt;&gt;"")</formula>
    </cfRule>
    <cfRule type="expression" dxfId="276" priority="480">
      <formula>AND($M$120&gt;=0.7,$M$120&lt;=100%,$B$122="")</formula>
    </cfRule>
    <cfRule type="expression" dxfId="275" priority="488">
      <formula>AND($M$120&lt;0.7,$M$117&lt;&gt;"",$M$118&lt;&gt;"",$B$122="")</formula>
    </cfRule>
  </conditionalFormatting>
  <conditionalFormatting sqref="G98">
    <cfRule type="expression" dxfId="274" priority="466">
      <formula>AND($G$98&gt;=0.7,$G$98&lt;=100%,G98&lt;&gt;0,$B$100="")</formula>
    </cfRule>
    <cfRule type="expression" dxfId="273" priority="479">
      <formula>AND($G$98&lt;0.7,$G$95&lt;&gt;"",$G$96&lt;&gt;"",$B$100="")</formula>
    </cfRule>
  </conditionalFormatting>
  <conditionalFormatting sqref="H98">
    <cfRule type="expression" dxfId="272" priority="465">
      <formula>AND($H$98&gt;=0.7,$H$98&lt;=100%,H98&lt;&gt;0,$B$100="")</formula>
    </cfRule>
    <cfRule type="expression" dxfId="271" priority="478">
      <formula>AND($H$98&lt;0.7,$H$95&lt;&gt;"",$H$96&lt;&gt;"",$B$100="")</formula>
    </cfRule>
  </conditionalFormatting>
  <conditionalFormatting sqref="I98">
    <cfRule type="expression" dxfId="270" priority="464">
      <formula>AND($I$98&gt;=0.7,$I$98&lt;=100%,I98&lt;&gt;0,$B$100="")</formula>
    </cfRule>
    <cfRule type="expression" dxfId="269" priority="477">
      <formula>AND($I$98&lt;0.7,$I$95&lt;&gt;"",$I$96&lt;&gt;"",$B$100="")</formula>
    </cfRule>
  </conditionalFormatting>
  <conditionalFormatting sqref="J98">
    <cfRule type="expression" dxfId="268" priority="463">
      <formula>AND($J$98&gt;=0.7,$J$98&lt;=100%,J98&lt;&gt;0,$B$100="")</formula>
    </cfRule>
    <cfRule type="expression" dxfId="267" priority="476">
      <formula>AND($J$98&lt;0.7,$J$95&lt;&gt;"",$J$96&lt;&gt;"",$B$100="")</formula>
    </cfRule>
  </conditionalFormatting>
  <conditionalFormatting sqref="K98">
    <cfRule type="expression" dxfId="266" priority="462">
      <formula>AND($K$98&gt;=0.7,$K$98&lt;=100%,K98&lt;&gt;0,$B$100="")</formula>
    </cfRule>
    <cfRule type="expression" dxfId="265" priority="475">
      <formula>AND($K$98&lt;0.7,$K$95&lt;&gt;"",$K$96&lt;&gt;"",$B$100="")</formula>
    </cfRule>
  </conditionalFormatting>
  <conditionalFormatting sqref="L98">
    <cfRule type="expression" dxfId="264" priority="461">
      <formula>AND($L$98&gt;=0.7,$L$98&lt;=100%,L98&lt;&gt;0,$B$100="")</formula>
    </cfRule>
    <cfRule type="expression" dxfId="263" priority="474">
      <formula>AND($L$98&lt;0.7,$L$95&lt;&gt;"",$L$96&lt;&gt;"",$B$100="")</formula>
    </cfRule>
  </conditionalFormatting>
  <conditionalFormatting sqref="M98">
    <cfRule type="expression" dxfId="262" priority="460">
      <formula>AND($M$98&gt;=0.7,$M$98&lt;=100%,M98&lt;&gt;0,$B$100="")</formula>
    </cfRule>
    <cfRule type="expression" dxfId="261" priority="473">
      <formula>AND($M$98&lt;0.7,$M$95&lt;&gt;"",$M$96&lt;&gt;"",$B$100="")</formula>
    </cfRule>
  </conditionalFormatting>
  <conditionalFormatting sqref="B99:C99">
    <cfRule type="expression" dxfId="260" priority="457">
      <formula>AND(N97="",N98="",B99&lt;&gt;"")</formula>
    </cfRule>
  </conditionalFormatting>
  <conditionalFormatting sqref="E98:M98">
    <cfRule type="expression" dxfId="259" priority="994" stopIfTrue="1">
      <formula>AND(E$98&gt;=0.7,E$98&lt;=100%,$B$100="")</formula>
    </cfRule>
    <cfRule type="expression" dxfId="258" priority="1045" stopIfTrue="1">
      <formula>AND(E$98&lt;0.7,E$94&lt;&gt;"",E$95&lt;&gt;"",E$96&lt;&gt;"",$B$100="")</formula>
    </cfRule>
  </conditionalFormatting>
  <conditionalFormatting sqref="G96">
    <cfRule type="expression" dxfId="257" priority="449">
      <formula>"AND(G85&gt;G86,G85&lt;&gt;"""",G86&lt;&gt;"""")"</formula>
    </cfRule>
  </conditionalFormatting>
  <conditionalFormatting sqref="E95">
    <cfRule type="expression" dxfId="256" priority="448">
      <formula>AND(E95&lt;&gt;"",E96&lt;&gt;"",E95&gt;E96,B100&lt;&gt;"")</formula>
    </cfRule>
  </conditionalFormatting>
  <conditionalFormatting sqref="E93">
    <cfRule type="expression" dxfId="255" priority="446">
      <formula>AND(E93&lt;E94,B100&lt;&gt;"")</formula>
    </cfRule>
  </conditionalFormatting>
  <conditionalFormatting sqref="F93">
    <cfRule type="expression" dxfId="254" priority="445">
      <formula>AND(F93&lt;F94,B100&lt;&gt;"")</formula>
    </cfRule>
  </conditionalFormatting>
  <conditionalFormatting sqref="G93">
    <cfRule type="expression" dxfId="253" priority="444">
      <formula>AND(G93&lt;G94,B100&lt;&gt;"")</formula>
    </cfRule>
  </conditionalFormatting>
  <conditionalFormatting sqref="H93">
    <cfRule type="expression" dxfId="252" priority="443">
      <formula>AND(H93&lt;H94,B100&lt;&gt;"")</formula>
    </cfRule>
  </conditionalFormatting>
  <conditionalFormatting sqref="I93">
    <cfRule type="expression" dxfId="251" priority="442">
      <formula>AND(I93&lt;I94,B100&lt;&gt;"")</formula>
    </cfRule>
  </conditionalFormatting>
  <conditionalFormatting sqref="J93">
    <cfRule type="expression" dxfId="250" priority="441">
      <formula>AND(J93&lt;J94,B100&lt;&gt;"")</formula>
    </cfRule>
  </conditionalFormatting>
  <conditionalFormatting sqref="K93">
    <cfRule type="expression" dxfId="249" priority="440">
      <formula>AND(K93&lt;K94,B100&lt;&gt;"")</formula>
    </cfRule>
  </conditionalFormatting>
  <conditionalFormatting sqref="L93">
    <cfRule type="expression" dxfId="248" priority="439">
      <formula>AND(L93&lt;L94,B100&lt;&gt;"")</formula>
    </cfRule>
  </conditionalFormatting>
  <conditionalFormatting sqref="M93">
    <cfRule type="expression" dxfId="247" priority="438">
      <formula>AND(M93&lt;M94,B100&lt;&gt;"")</formula>
    </cfRule>
  </conditionalFormatting>
  <conditionalFormatting sqref="F95">
    <cfRule type="expression" dxfId="246" priority="429">
      <formula>AND(F95&lt;&gt;"",F96&lt;&gt;"",F95&gt;F96,B100&lt;&gt;"")</formula>
    </cfRule>
  </conditionalFormatting>
  <conditionalFormatting sqref="G95">
    <cfRule type="expression" dxfId="245" priority="428">
      <formula>AND(G95&lt;&gt;"",G96&lt;&gt;"",G95&gt;G96,B100&lt;&gt;"")</formula>
    </cfRule>
  </conditionalFormatting>
  <conditionalFormatting sqref="H95">
    <cfRule type="expression" dxfId="244" priority="427">
      <formula>AND(H95&lt;&gt;"",H96&lt;&gt;"",H95&gt;H96,B100&lt;&gt;"")</formula>
    </cfRule>
  </conditionalFormatting>
  <conditionalFormatting sqref="I95">
    <cfRule type="expression" dxfId="243" priority="426">
      <formula>AND(I95&lt;&gt;"",I96&lt;&gt;"",I95&gt;I96,B100&lt;&gt;"")</formula>
    </cfRule>
  </conditionalFormatting>
  <conditionalFormatting sqref="J95">
    <cfRule type="expression" dxfId="242" priority="425">
      <formula>AND(J95&lt;&gt;"",J96&lt;&gt;"",J95&gt;J96,B100&lt;&gt;"")</formula>
    </cfRule>
  </conditionalFormatting>
  <conditionalFormatting sqref="K95">
    <cfRule type="expression" dxfId="241" priority="424">
      <formula>AND(K95&lt;&gt;"",K96&lt;&gt;"",K95&gt;K96,B100&lt;&gt;"")</formula>
    </cfRule>
  </conditionalFormatting>
  <conditionalFormatting sqref="L95">
    <cfRule type="expression" dxfId="240" priority="423">
      <formula>AND(L95&lt;&gt;"",L96&lt;&gt;"",L95&gt;L96,B100&lt;&gt;"")</formula>
    </cfRule>
  </conditionalFormatting>
  <conditionalFormatting sqref="M95">
    <cfRule type="expression" dxfId="239" priority="422">
      <formula>AND(M95&lt;&gt;"",M96&lt;&gt;"",M95&gt;M96,B100&lt;&gt;"")</formula>
    </cfRule>
  </conditionalFormatting>
  <conditionalFormatting sqref="AY121">
    <cfRule type="expression" dxfId="238" priority="1072">
      <formula>#REF!="No"</formula>
    </cfRule>
  </conditionalFormatting>
  <conditionalFormatting sqref="BH113">
    <cfRule type="expression" dxfId="237" priority="1073">
      <formula>#REF!="No"</formula>
    </cfRule>
  </conditionalFormatting>
  <conditionalFormatting sqref="BQ112">
    <cfRule type="expression" dxfId="236" priority="1074">
      <formula>#REF!="No"</formula>
    </cfRule>
  </conditionalFormatting>
  <conditionalFormatting sqref="O96">
    <cfRule type="expression" dxfId="235" priority="1075">
      <formula>O96&lt;&gt;""</formula>
    </cfRule>
  </conditionalFormatting>
  <conditionalFormatting sqref="AI88:AO90 AR88:AX91">
    <cfRule type="expression" dxfId="234" priority="420">
      <formula>#REF!&lt;&gt;""</formula>
    </cfRule>
  </conditionalFormatting>
  <conditionalFormatting sqref="Q90:R90">
    <cfRule type="expression" dxfId="233" priority="419">
      <formula>#REF!&lt;&gt;""</formula>
    </cfRule>
  </conditionalFormatting>
  <conditionalFormatting sqref="Q93">
    <cfRule type="expression" dxfId="232" priority="418">
      <formula>$Q$90="No"</formula>
    </cfRule>
  </conditionalFormatting>
  <conditionalFormatting sqref="Q95:R95 Z88:AF91">
    <cfRule type="expression" dxfId="231" priority="417">
      <formula>$Q$90="Yes"</formula>
    </cfRule>
  </conditionalFormatting>
  <conditionalFormatting sqref="Q97">
    <cfRule type="expression" dxfId="230" priority="416">
      <formula>$Q$90="No"</formula>
    </cfRule>
  </conditionalFormatting>
  <conditionalFormatting sqref="Q98:W102">
    <cfRule type="expression" dxfId="229" priority="415">
      <formula>$Q$90="Yes"</formula>
    </cfRule>
  </conditionalFormatting>
  <conditionalFormatting sqref="Z95:AA95">
    <cfRule type="expression" dxfId="228" priority="412">
      <formula>#REF!&lt;&gt;""</formula>
    </cfRule>
  </conditionalFormatting>
  <conditionalFormatting sqref="Z98">
    <cfRule type="expression" dxfId="227" priority="421">
      <formula>#REF!&lt;&gt;""</formula>
    </cfRule>
  </conditionalFormatting>
  <conditionalFormatting sqref="AI95:AJ95">
    <cfRule type="expression" dxfId="226" priority="410">
      <formula>#REF!&lt;&gt;""</formula>
    </cfRule>
  </conditionalFormatting>
  <conditionalFormatting sqref="AI97 AP97">
    <cfRule type="expression" dxfId="225" priority="409">
      <formula>AI95="Yes"</formula>
    </cfRule>
  </conditionalFormatting>
  <conditionalFormatting sqref="AI98:AO102">
    <cfRule type="expression" dxfId="224" priority="408">
      <formula>AI95="No"</formula>
    </cfRule>
  </conditionalFormatting>
  <conditionalFormatting sqref="AR95:AS95">
    <cfRule type="expression" dxfId="223" priority="406">
      <formula>#REF!&lt;&gt;""</formula>
    </cfRule>
  </conditionalFormatting>
  <conditionalFormatting sqref="AR97 AY97">
    <cfRule type="expression" dxfId="222" priority="405">
      <formula>$AR$95="No"</formula>
    </cfRule>
  </conditionalFormatting>
  <conditionalFormatting sqref="AR98:AX102">
    <cfRule type="expression" dxfId="221" priority="404">
      <formula>AR95="Yes"</formula>
    </cfRule>
  </conditionalFormatting>
  <conditionalFormatting sqref="BA89">
    <cfRule type="expression" dxfId="220" priority="402">
      <formula>#REF!="No"</formula>
    </cfRule>
  </conditionalFormatting>
  <conditionalFormatting sqref="BA90:BG102">
    <cfRule type="expression" dxfId="219" priority="401">
      <formula>#REF!="Yes"</formula>
    </cfRule>
  </conditionalFormatting>
  <conditionalFormatting sqref="BJ89:BP102">
    <cfRule type="expression" dxfId="218" priority="399">
      <formula>#REF!="Yes"</formula>
    </cfRule>
  </conditionalFormatting>
  <conditionalFormatting sqref="BJ88">
    <cfRule type="expression" dxfId="217" priority="398">
      <formula>#REF!="No"</formula>
    </cfRule>
  </conditionalFormatting>
  <conditionalFormatting sqref="BV88:CE88">
    <cfRule type="expression" dxfId="216" priority="396">
      <formula>#REF!="No"</formula>
    </cfRule>
  </conditionalFormatting>
  <conditionalFormatting sqref="BV89:CE94">
    <cfRule type="expression" dxfId="215" priority="395">
      <formula>#REF!="Yes"</formula>
    </cfRule>
  </conditionalFormatting>
  <conditionalFormatting sqref="BV97:CE100">
    <cfRule type="expression" dxfId="214" priority="394">
      <formula>#REF!&lt;&gt;""</formula>
    </cfRule>
  </conditionalFormatting>
  <conditionalFormatting sqref="O94">
    <cfRule type="expression" dxfId="213" priority="392">
      <formula>O94&lt;&gt;""</formula>
    </cfRule>
  </conditionalFormatting>
  <conditionalFormatting sqref="O95">
    <cfRule type="expression" dxfId="212" priority="391">
      <formula>O95&lt;&gt;""</formula>
    </cfRule>
  </conditionalFormatting>
  <conditionalFormatting sqref="O98">
    <cfRule type="expression" dxfId="211" priority="390">
      <formula>O98&lt;&gt;""</formula>
    </cfRule>
  </conditionalFormatting>
  <conditionalFormatting sqref="X63">
    <cfRule type="expression" dxfId="210" priority="344">
      <formula>X63&lt;&gt;""</formula>
    </cfRule>
  </conditionalFormatting>
  <conditionalFormatting sqref="X67">
    <cfRule type="expression" dxfId="209" priority="342">
      <formula>X67&lt;&gt;""</formula>
    </cfRule>
  </conditionalFormatting>
  <conditionalFormatting sqref="X71">
    <cfRule type="expression" dxfId="208" priority="341">
      <formula>X71&lt;&gt;""</formula>
    </cfRule>
  </conditionalFormatting>
  <conditionalFormatting sqref="X78">
    <cfRule type="expression" dxfId="207" priority="340">
      <formula>X78&lt;&gt;""</formula>
    </cfRule>
  </conditionalFormatting>
  <conditionalFormatting sqref="AG78">
    <cfRule type="expression" dxfId="206" priority="339">
      <formula>AG78&lt;&gt;""</formula>
    </cfRule>
  </conditionalFormatting>
  <conditionalFormatting sqref="AG74">
    <cfRule type="expression" dxfId="205" priority="338">
      <formula>AG74&lt;&gt;""</formula>
    </cfRule>
  </conditionalFormatting>
  <conditionalFormatting sqref="AG69">
    <cfRule type="expression" dxfId="204" priority="337">
      <formula>AG69&lt;&gt;""</formula>
    </cfRule>
  </conditionalFormatting>
  <conditionalFormatting sqref="AG63">
    <cfRule type="expression" dxfId="203" priority="336">
      <formula>AG63&lt;&gt;""</formula>
    </cfRule>
  </conditionalFormatting>
  <conditionalFormatting sqref="AP63">
    <cfRule type="expression" dxfId="202" priority="335">
      <formula>AO63&lt;&gt;""</formula>
    </cfRule>
  </conditionalFormatting>
  <conditionalFormatting sqref="AP68">
    <cfRule type="expression" dxfId="201" priority="334">
      <formula>AO68&lt;&gt;""</formula>
    </cfRule>
  </conditionalFormatting>
  <conditionalFormatting sqref="AP74">
    <cfRule type="expression" dxfId="200" priority="333">
      <formula>AO74&lt;&gt;""</formula>
    </cfRule>
  </conditionalFormatting>
  <conditionalFormatting sqref="AP78">
    <cfRule type="expression" dxfId="199" priority="332">
      <formula>AP79&lt;&gt;""</formula>
    </cfRule>
  </conditionalFormatting>
  <conditionalFormatting sqref="AY68">
    <cfRule type="expression" dxfId="198" priority="331">
      <formula>AX68&lt;&gt;""</formula>
    </cfRule>
  </conditionalFormatting>
  <conditionalFormatting sqref="AY78">
    <cfRule type="expression" dxfId="197" priority="330">
      <formula>AY79&lt;&gt;""</formula>
    </cfRule>
  </conditionalFormatting>
  <conditionalFormatting sqref="AY63">
    <cfRule type="expression" dxfId="196" priority="329">
      <formula>AX63&lt;&gt;""</formula>
    </cfRule>
  </conditionalFormatting>
  <conditionalFormatting sqref="BH63">
    <cfRule type="expression" dxfId="195" priority="328">
      <formula>BG63&lt;&gt;""</formula>
    </cfRule>
  </conditionalFormatting>
  <conditionalFormatting sqref="BH67">
    <cfRule type="expression" dxfId="194" priority="327">
      <formula>BG67&lt;&gt;""</formula>
    </cfRule>
  </conditionalFormatting>
  <conditionalFormatting sqref="BH71">
    <cfRule type="expression" dxfId="193" priority="326">
      <formula>BG71&lt;&gt;""</formula>
    </cfRule>
  </conditionalFormatting>
  <conditionalFormatting sqref="BH78">
    <cfRule type="expression" dxfId="192" priority="325">
      <formula>BH79&lt;&gt;""</formula>
    </cfRule>
  </conditionalFormatting>
  <conditionalFormatting sqref="BQ63">
    <cfRule type="expression" dxfId="191" priority="324">
      <formula>BQ63&lt;&gt;""</formula>
    </cfRule>
  </conditionalFormatting>
  <conditionalFormatting sqref="BQ78">
    <cfRule type="expression" dxfId="190" priority="323">
      <formula>BQ78&lt;&gt;""</formula>
    </cfRule>
  </conditionalFormatting>
  <conditionalFormatting sqref="X90">
    <cfRule type="expression" dxfId="189" priority="321">
      <formula>$X$90&lt;&gt;""</formula>
    </cfRule>
  </conditionalFormatting>
  <conditionalFormatting sqref="X95">
    <cfRule type="expression" dxfId="188" priority="320">
      <formula>$X$95&lt;&gt;""</formula>
    </cfRule>
  </conditionalFormatting>
  <conditionalFormatting sqref="X98">
    <cfRule type="expression" dxfId="187" priority="319">
      <formula>$X$98&lt;&gt;""</formula>
    </cfRule>
  </conditionalFormatting>
  <conditionalFormatting sqref="AG95">
    <cfRule type="expression" dxfId="186" priority="317">
      <formula>$AG$95&lt;&gt;""</formula>
    </cfRule>
  </conditionalFormatting>
  <conditionalFormatting sqref="AG98">
    <cfRule type="expression" dxfId="185" priority="316">
      <formula>$AG$98&lt;&gt;""</formula>
    </cfRule>
  </conditionalFormatting>
  <conditionalFormatting sqref="AP95">
    <cfRule type="expression" dxfId="184" priority="314">
      <formula>$AP$95&lt;&gt;""</formula>
    </cfRule>
  </conditionalFormatting>
  <conditionalFormatting sqref="AP98">
    <cfRule type="expression" dxfId="183" priority="313">
      <formula>$AP$98&lt;&gt;""</formula>
    </cfRule>
  </conditionalFormatting>
  <conditionalFormatting sqref="AY95">
    <cfRule type="expression" dxfId="182" priority="312">
      <formula>$AY$95&lt;&gt;""</formula>
    </cfRule>
  </conditionalFormatting>
  <conditionalFormatting sqref="AY98">
    <cfRule type="expression" dxfId="181" priority="311">
      <formula>$AY$98&lt;&gt;""</formula>
    </cfRule>
  </conditionalFormatting>
  <conditionalFormatting sqref="BH90">
    <cfRule type="expression" dxfId="180" priority="310">
      <formula>$BH$90&lt;&gt;""</formula>
    </cfRule>
  </conditionalFormatting>
  <conditionalFormatting sqref="BQ89">
    <cfRule type="expression" dxfId="179" priority="309">
      <formula>$BQ$89&lt;&gt;""</formula>
    </cfRule>
  </conditionalFormatting>
  <conditionalFormatting sqref="CF89">
    <cfRule type="expression" dxfId="178" priority="307">
      <formula>$CF$89&lt;&gt;""</formula>
    </cfRule>
  </conditionalFormatting>
  <conditionalFormatting sqref="CF97">
    <cfRule type="expression" dxfId="177" priority="305">
      <formula>$CF$97&lt;&gt;""</formula>
    </cfRule>
  </conditionalFormatting>
  <conditionalFormatting sqref="BM105:BQ107">
    <cfRule type="expression" dxfId="176" priority="302">
      <formula>$BM$105&lt;&gt;""</formula>
    </cfRule>
  </conditionalFormatting>
  <conditionalFormatting sqref="X111">
    <cfRule type="expression" dxfId="175" priority="301">
      <formula>$X$111&lt;&gt;""</formula>
    </cfRule>
  </conditionalFormatting>
  <conditionalFormatting sqref="X121">
    <cfRule type="expression" dxfId="174" priority="300">
      <formula>$X$121&lt;&gt;""</formula>
    </cfRule>
  </conditionalFormatting>
  <conditionalFormatting sqref="AG111">
    <cfRule type="expression" dxfId="173" priority="299">
      <formula>$AG$111&lt;&gt;""</formula>
    </cfRule>
  </conditionalFormatting>
  <conditionalFormatting sqref="AG114">
    <cfRule type="expression" dxfId="172" priority="298">
      <formula>$AG$114&lt;&gt;""</formula>
    </cfRule>
  </conditionalFormatting>
  <conditionalFormatting sqref="AG116">
    <cfRule type="expression" dxfId="171" priority="297">
      <formula>$AG$117&lt;&gt;""</formula>
    </cfRule>
  </conditionalFormatting>
  <conditionalFormatting sqref="AG122">
    <cfRule type="expression" dxfId="170" priority="296">
      <formula>$AG$122&lt;&gt;""</formula>
    </cfRule>
  </conditionalFormatting>
  <conditionalFormatting sqref="AP111">
    <cfRule type="expression" dxfId="169" priority="295">
      <formula>$AP$111&lt;&gt;""</formula>
    </cfRule>
  </conditionalFormatting>
  <conditionalFormatting sqref="AY111">
    <cfRule type="expression" dxfId="168" priority="294">
      <formula>$AY$111&lt;&gt;""</formula>
    </cfRule>
  </conditionalFormatting>
  <conditionalFormatting sqref="BH111">
    <cfRule type="expression" dxfId="167" priority="293">
      <formula>$BH$111&lt;&gt;""</formula>
    </cfRule>
  </conditionalFormatting>
  <conditionalFormatting sqref="O34">
    <cfRule type="expression" dxfId="166" priority="288">
      <formula>$O$34&lt;&gt;""</formula>
    </cfRule>
  </conditionalFormatting>
  <conditionalFormatting sqref="I38">
    <cfRule type="expression" dxfId="165" priority="2770">
      <formula>$I$38&lt;&gt;""</formula>
    </cfRule>
  </conditionalFormatting>
  <conditionalFormatting sqref="F38:G38">
    <cfRule type="expression" dxfId="164" priority="2773">
      <formula>$F$38&lt;&gt;""</formula>
    </cfRule>
  </conditionalFormatting>
  <conditionalFormatting sqref="C38:E38">
    <cfRule type="expression" dxfId="163" priority="194">
      <formula>$C$38&lt;&gt;""</formula>
    </cfRule>
  </conditionalFormatting>
  <conditionalFormatting sqref="J38:K38">
    <cfRule type="expression" dxfId="162" priority="193">
      <formula>$J$38&lt;&gt;""</formula>
    </cfRule>
  </conditionalFormatting>
  <conditionalFormatting sqref="O13">
    <cfRule type="expression" dxfId="161" priority="12047">
      <formula>AND($D$17&lt;&gt;"",#REF!&lt;&gt;"",#REF!="")</formula>
    </cfRule>
  </conditionalFormatting>
  <conditionalFormatting sqref="CA86">
    <cfRule type="expression" dxfId="160" priority="12370">
      <formula>#REF!&lt;&gt;""</formula>
    </cfRule>
  </conditionalFormatting>
  <conditionalFormatting sqref="J87">
    <cfRule type="expression" dxfId="159" priority="12371">
      <formula>AND(#REF!&lt;&gt;"",#REF!=0)</formula>
    </cfRule>
  </conditionalFormatting>
  <conditionalFormatting sqref="O52:O53">
    <cfRule type="expression" dxfId="158" priority="176">
      <formula>P52=1</formula>
    </cfRule>
  </conditionalFormatting>
  <conditionalFormatting sqref="P39:P53">
    <cfRule type="expression" dxfId="157" priority="175">
      <formula>Q39=1</formula>
    </cfRule>
  </conditionalFormatting>
  <conditionalFormatting sqref="O39">
    <cfRule type="expression" dxfId="156" priority="158">
      <formula>P39=1</formula>
    </cfRule>
  </conditionalFormatting>
  <conditionalFormatting sqref="O51">
    <cfRule type="expression" dxfId="155" priority="173">
      <formula>P51=1</formula>
    </cfRule>
  </conditionalFormatting>
  <conditionalFormatting sqref="O50">
    <cfRule type="expression" dxfId="154" priority="171">
      <formula>P50=1</formula>
    </cfRule>
  </conditionalFormatting>
  <conditionalFormatting sqref="O49">
    <cfRule type="expression" dxfId="153" priority="169">
      <formula>P49=1</formula>
    </cfRule>
  </conditionalFormatting>
  <conditionalFormatting sqref="O48">
    <cfRule type="expression" dxfId="152" priority="168">
      <formula>P48=1</formula>
    </cfRule>
  </conditionalFormatting>
  <conditionalFormatting sqref="O47">
    <cfRule type="expression" dxfId="151" priority="167">
      <formula>P47=1</formula>
    </cfRule>
  </conditionalFormatting>
  <conditionalFormatting sqref="O46">
    <cfRule type="expression" dxfId="150" priority="166">
      <formula>P46=1</formula>
    </cfRule>
  </conditionalFormatting>
  <conditionalFormatting sqref="O45">
    <cfRule type="expression" dxfId="149" priority="165">
      <formula>P45=1</formula>
    </cfRule>
  </conditionalFormatting>
  <conditionalFormatting sqref="O44">
    <cfRule type="expression" dxfId="148" priority="163">
      <formula>P44=1</formula>
    </cfRule>
  </conditionalFormatting>
  <conditionalFormatting sqref="O43">
    <cfRule type="expression" dxfId="147" priority="162">
      <formula>P43=1</formula>
    </cfRule>
  </conditionalFormatting>
  <conditionalFormatting sqref="O42">
    <cfRule type="expression" dxfId="146" priority="161">
      <formula>P42=1</formula>
    </cfRule>
  </conditionalFormatting>
  <conditionalFormatting sqref="O41">
    <cfRule type="expression" dxfId="145" priority="160">
      <formula>P41=1</formula>
    </cfRule>
  </conditionalFormatting>
  <conditionalFormatting sqref="O40">
    <cfRule type="expression" dxfId="144" priority="159">
      <formula>P40=1</formula>
    </cfRule>
  </conditionalFormatting>
  <conditionalFormatting sqref="J59">
    <cfRule type="expression" dxfId="143" priority="15363">
      <formula>AND(#REF!&lt;&gt;"",#REF!=0)</formula>
    </cfRule>
  </conditionalFormatting>
  <conditionalFormatting sqref="E94">
    <cfRule type="expression" dxfId="142" priority="15367">
      <formula>AND(E96&gt;E94,B100&lt;&gt;"")</formula>
    </cfRule>
    <cfRule type="expression" dxfId="141" priority="15368">
      <formula>AND($D$4&lt;&gt;YEAR($E$65), $E$65&lt;&gt;0)</formula>
    </cfRule>
  </conditionalFormatting>
  <conditionalFormatting sqref="F94">
    <cfRule type="expression" dxfId="140" priority="15369">
      <formula>AND(F96&gt;F94,B100&lt;&gt;"")</formula>
    </cfRule>
    <cfRule type="expression" dxfId="139" priority="15370">
      <formula>AND($D$4&lt;&gt;YEAR($F$65), $F$65&lt;&gt;0)</formula>
    </cfRule>
  </conditionalFormatting>
  <conditionalFormatting sqref="G94">
    <cfRule type="expression" dxfId="138" priority="15371">
      <formula>AND(G96&gt;G94,B100&lt;&gt;"")</formula>
    </cfRule>
    <cfRule type="expression" dxfId="137" priority="15372">
      <formula>AND($D$4&lt;&gt;YEAR($G$65), $G$65&lt;&gt;0)</formula>
    </cfRule>
  </conditionalFormatting>
  <conditionalFormatting sqref="H94">
    <cfRule type="expression" dxfId="136" priority="15373">
      <formula>AND(H96&gt;H94,B100&lt;&gt;"")</formula>
    </cfRule>
    <cfRule type="expression" dxfId="135" priority="15374">
      <formula>AND($D$4&lt;&gt;YEAR($H$65), $H$65&lt;&gt;0)</formula>
    </cfRule>
  </conditionalFormatting>
  <conditionalFormatting sqref="I94">
    <cfRule type="expression" dxfId="134" priority="15375">
      <formula>AND(I96&gt;I94,B100&lt;&gt;"")</formula>
    </cfRule>
    <cfRule type="expression" dxfId="133" priority="15376">
      <formula>AND($D$4&lt;&gt;YEAR($I$65), $I$65&lt;&gt;0)</formula>
    </cfRule>
  </conditionalFormatting>
  <conditionalFormatting sqref="J94">
    <cfRule type="expression" dxfId="132" priority="15377">
      <formula>AND(J96&gt;J94,B100&lt;&gt;"")</formula>
    </cfRule>
    <cfRule type="expression" dxfId="131" priority="15378">
      <formula>AND($D$4&lt;&gt;YEAR($J$65), $J$65&lt;&gt;0)</formula>
    </cfRule>
  </conditionalFormatting>
  <conditionalFormatting sqref="K94">
    <cfRule type="expression" dxfId="130" priority="15379">
      <formula>AND(K96&gt;K94,B100&lt;&gt;"")</formula>
    </cfRule>
    <cfRule type="expression" dxfId="129" priority="15380">
      <formula>AND($D$4&lt;&gt;YEAR($K$65), $K$65&lt;&gt;0)</formula>
    </cfRule>
  </conditionalFormatting>
  <conditionalFormatting sqref="L94">
    <cfRule type="expression" dxfId="128" priority="15381">
      <formula>AND(L96&gt;L94,B100&lt;&gt;"")</formula>
    </cfRule>
    <cfRule type="expression" dxfId="127" priority="15382">
      <formula>AND($D$4&lt;&gt;YEAR($L$65), $L$65&lt;&gt;0)</formula>
    </cfRule>
  </conditionalFormatting>
  <conditionalFormatting sqref="M94">
    <cfRule type="expression" dxfId="126" priority="15383">
      <formula>AND(M96&gt;M94,B100&lt;&gt;"")</formula>
    </cfRule>
    <cfRule type="expression" dxfId="125" priority="15384">
      <formula>AND($D$4&lt;&gt;YEAR($M$65), $M$65&lt;&gt;0)</formula>
    </cfRule>
  </conditionalFormatting>
  <conditionalFormatting sqref="F96">
    <cfRule type="expression" dxfId="124" priority="15385">
      <formula>AND(F95&gt;F96,F95&lt;&gt;"",F96&lt;&gt;"")</formula>
    </cfRule>
    <cfRule type="expression" dxfId="123" priority="15386">
      <formula>AND($D$4&lt;&gt;YEAR($F$65), $F$65&lt;&gt;0)</formula>
    </cfRule>
  </conditionalFormatting>
  <conditionalFormatting sqref="O63">
    <cfRule type="expression" dxfId="122" priority="157">
      <formula>P63=1</formula>
    </cfRule>
  </conditionalFormatting>
  <conditionalFormatting sqref="O64">
    <cfRule type="expression" dxfId="121" priority="156">
      <formula>P64=1</formula>
    </cfRule>
  </conditionalFormatting>
  <conditionalFormatting sqref="O65">
    <cfRule type="expression" dxfId="120" priority="155">
      <formula>P65=1</formula>
    </cfRule>
  </conditionalFormatting>
  <conditionalFormatting sqref="CA126">
    <cfRule type="expression" dxfId="119" priority="15387">
      <formula>#REF!&lt;&gt;""</formula>
    </cfRule>
  </conditionalFormatting>
  <conditionalFormatting sqref="O31">
    <cfRule type="expression" dxfId="118" priority="154">
      <formula>$O$31&lt;&gt;""</formula>
    </cfRule>
  </conditionalFormatting>
  <conditionalFormatting sqref="J39:K39">
    <cfRule type="expression" dxfId="117" priority="15631">
      <formula>AND($G$29="Yes",$H$34&gt;=1)</formula>
    </cfRule>
  </conditionalFormatting>
  <conditionalFormatting sqref="H34:I34">
    <cfRule type="expression" dxfId="116" priority="152">
      <formula>$C$34&lt;&gt;""</formula>
    </cfRule>
  </conditionalFormatting>
  <conditionalFormatting sqref="C39:E39">
    <cfRule type="expression" dxfId="115" priority="151">
      <formula>$H$34&gt;=1</formula>
    </cfRule>
  </conditionalFormatting>
  <conditionalFormatting sqref="F39:G39">
    <cfRule type="expression" dxfId="114" priority="150">
      <formula>$H$34&gt;=1</formula>
    </cfRule>
  </conditionalFormatting>
  <conditionalFormatting sqref="F40:G40">
    <cfRule type="expression" dxfId="113" priority="149">
      <formula>$H$34&gt;=2</formula>
    </cfRule>
  </conditionalFormatting>
  <conditionalFormatting sqref="F41:G41">
    <cfRule type="expression" dxfId="112" priority="148">
      <formula>$H$34&gt;=3</formula>
    </cfRule>
  </conditionalFormatting>
  <conditionalFormatting sqref="F42:G42">
    <cfRule type="expression" dxfId="111" priority="147">
      <formula>$H$34&gt;=4</formula>
    </cfRule>
  </conditionalFormatting>
  <conditionalFormatting sqref="F43:G43">
    <cfRule type="expression" dxfId="110" priority="146">
      <formula>$H$34&gt;=5</formula>
    </cfRule>
  </conditionalFormatting>
  <conditionalFormatting sqref="F44:G44">
    <cfRule type="expression" dxfId="109" priority="145">
      <formula>$H$34&gt;=6</formula>
    </cfRule>
  </conditionalFormatting>
  <conditionalFormatting sqref="F45:G45">
    <cfRule type="expression" dxfId="108" priority="144">
      <formula>$H$34&gt;=7</formula>
    </cfRule>
  </conditionalFormatting>
  <conditionalFormatting sqref="F46:G46">
    <cfRule type="expression" dxfId="107" priority="143">
      <formula>$H$34&gt;=8</formula>
    </cfRule>
  </conditionalFormatting>
  <conditionalFormatting sqref="F47:G47">
    <cfRule type="expression" dxfId="106" priority="142">
      <formula>$H$34&gt;=9</formula>
    </cfRule>
  </conditionalFormatting>
  <conditionalFormatting sqref="F48:G48">
    <cfRule type="expression" dxfId="105" priority="141">
      <formula>$H$34&gt;=10</formula>
    </cfRule>
  </conditionalFormatting>
  <conditionalFormatting sqref="F49:G49">
    <cfRule type="expression" dxfId="104" priority="140">
      <formula>$H$34&gt;=11</formula>
    </cfRule>
  </conditionalFormatting>
  <conditionalFormatting sqref="F50:G50">
    <cfRule type="expression" dxfId="103" priority="139">
      <formula>$H$34&gt;=12</formula>
    </cfRule>
  </conditionalFormatting>
  <conditionalFormatting sqref="F51:G51">
    <cfRule type="expression" dxfId="102" priority="138">
      <formula>$H$34&gt;=13</formula>
    </cfRule>
  </conditionalFormatting>
  <conditionalFormatting sqref="C40:E40">
    <cfRule type="expression" dxfId="101" priority="137">
      <formula>$H$34&gt;=2</formula>
    </cfRule>
  </conditionalFormatting>
  <conditionalFormatting sqref="C41:E41">
    <cfRule type="expression" dxfId="100" priority="136">
      <formula>$H$34&gt;=3</formula>
    </cfRule>
  </conditionalFormatting>
  <conditionalFormatting sqref="C42:E42">
    <cfRule type="expression" dxfId="99" priority="135">
      <formula>$H$34&gt;=4</formula>
    </cfRule>
  </conditionalFormatting>
  <conditionalFormatting sqref="C43:E43">
    <cfRule type="expression" dxfId="98" priority="134">
      <formula>$H$34&gt;=5</formula>
    </cfRule>
  </conditionalFormatting>
  <conditionalFormatting sqref="C44:E44">
    <cfRule type="expression" dxfId="97" priority="133">
      <formula>$H$34&gt;=6</formula>
    </cfRule>
  </conditionalFormatting>
  <conditionalFormatting sqref="C45:E45">
    <cfRule type="expression" dxfId="96" priority="132">
      <formula>$H$34&gt;=7</formula>
    </cfRule>
  </conditionalFormatting>
  <conditionalFormatting sqref="C46:E46">
    <cfRule type="expression" dxfId="95" priority="131">
      <formula>$H$34&gt;=8</formula>
    </cfRule>
  </conditionalFormatting>
  <conditionalFormatting sqref="C47:E47">
    <cfRule type="expression" dxfId="94" priority="130">
      <formula>$H$34&gt;=9</formula>
    </cfRule>
  </conditionalFormatting>
  <conditionalFormatting sqref="C48:E48">
    <cfRule type="expression" dxfId="93" priority="129">
      <formula>$H$34&gt;=10</formula>
    </cfRule>
  </conditionalFormatting>
  <conditionalFormatting sqref="C49:E49">
    <cfRule type="expression" dxfId="92" priority="128">
      <formula>$H$34&gt;=11</formula>
    </cfRule>
  </conditionalFormatting>
  <conditionalFormatting sqref="C50:E50">
    <cfRule type="expression" dxfId="91" priority="127">
      <formula>$H$34&gt;=12</formula>
    </cfRule>
  </conditionalFormatting>
  <conditionalFormatting sqref="C51:E51">
    <cfRule type="expression" dxfId="90" priority="126">
      <formula>$H$34&gt;=13</formula>
    </cfRule>
  </conditionalFormatting>
  <conditionalFormatting sqref="C52:E52">
    <cfRule type="expression" dxfId="89" priority="125">
      <formula>$H$34&gt;=14</formula>
    </cfRule>
  </conditionalFormatting>
  <conditionalFormatting sqref="C53:E53">
    <cfRule type="expression" dxfId="88" priority="124">
      <formula>$H$34&gt;=15</formula>
    </cfRule>
  </conditionalFormatting>
  <conditionalFormatting sqref="F52:G52">
    <cfRule type="expression" dxfId="87" priority="123">
      <formula>$H$34&gt;=14</formula>
    </cfRule>
  </conditionalFormatting>
  <conditionalFormatting sqref="F53:G53">
    <cfRule type="expression" dxfId="86" priority="122">
      <formula>$H$34&gt;=15</formula>
    </cfRule>
  </conditionalFormatting>
  <conditionalFormatting sqref="I39">
    <cfRule type="expression" dxfId="85" priority="15662">
      <formula>$H$34&gt;=1</formula>
    </cfRule>
  </conditionalFormatting>
  <conditionalFormatting sqref="I40">
    <cfRule type="expression" dxfId="84" priority="117">
      <formula>$H$34&gt;=2</formula>
    </cfRule>
  </conditionalFormatting>
  <conditionalFormatting sqref="I41">
    <cfRule type="expression" dxfId="83" priority="114">
      <formula>$H$34&gt;=3</formula>
    </cfRule>
  </conditionalFormatting>
  <conditionalFormatting sqref="I42">
    <cfRule type="expression" dxfId="82" priority="111">
      <formula>$H$34&gt;=4</formula>
    </cfRule>
  </conditionalFormatting>
  <conditionalFormatting sqref="I43">
    <cfRule type="expression" dxfId="81" priority="108">
      <formula>$H$34&gt;=5</formula>
    </cfRule>
  </conditionalFormatting>
  <conditionalFormatting sqref="I44">
    <cfRule type="expression" dxfId="80" priority="105">
      <formula>$H$34&gt;=6</formula>
    </cfRule>
  </conditionalFormatting>
  <conditionalFormatting sqref="I45">
    <cfRule type="expression" dxfId="79" priority="102">
      <formula>$H$34&gt;=7</formula>
    </cfRule>
  </conditionalFormatting>
  <conditionalFormatting sqref="I46">
    <cfRule type="expression" dxfId="78" priority="99">
      <formula>$H$34&gt;=8</formula>
    </cfRule>
  </conditionalFormatting>
  <conditionalFormatting sqref="I47">
    <cfRule type="expression" dxfId="77" priority="96">
      <formula>$H$34&gt;=9</formula>
    </cfRule>
  </conditionalFormatting>
  <conditionalFormatting sqref="I48">
    <cfRule type="expression" dxfId="76" priority="93">
      <formula>$H$34&gt;=10</formula>
    </cfRule>
  </conditionalFormatting>
  <conditionalFormatting sqref="I49">
    <cfRule type="expression" dxfId="75" priority="90">
      <formula>$H$34&gt;=11</formula>
    </cfRule>
  </conditionalFormatting>
  <conditionalFormatting sqref="I50">
    <cfRule type="expression" dxfId="74" priority="87">
      <formula>$H$34&gt;=12</formula>
    </cfRule>
  </conditionalFormatting>
  <conditionalFormatting sqref="I51">
    <cfRule type="expression" dxfId="73" priority="84">
      <formula>$H$34&gt;=13</formula>
    </cfRule>
  </conditionalFormatting>
  <conditionalFormatting sqref="I52">
    <cfRule type="expression" dxfId="72" priority="81">
      <formula>$H$34&gt;=14</formula>
    </cfRule>
  </conditionalFormatting>
  <conditionalFormatting sqref="I53">
    <cfRule type="expression" dxfId="71" priority="78">
      <formula>$H$34&gt;=15</formula>
    </cfRule>
  </conditionalFormatting>
  <conditionalFormatting sqref="J40:K40">
    <cfRule type="expression" dxfId="70" priority="75">
      <formula>AND($G$29="Yes",$H$34&gt;=2)</formula>
    </cfRule>
  </conditionalFormatting>
  <conditionalFormatting sqref="J41:K41">
    <cfRule type="expression" dxfId="69" priority="74">
      <formula>AND($G$29="Yes",$H$34&gt;=3)</formula>
    </cfRule>
  </conditionalFormatting>
  <conditionalFormatting sqref="J42:K42">
    <cfRule type="expression" dxfId="68" priority="73">
      <formula>AND($G$29="Yes",$H$34&gt;=4)</formula>
    </cfRule>
  </conditionalFormatting>
  <conditionalFormatting sqref="J43:K43">
    <cfRule type="expression" dxfId="67" priority="72">
      <formula>AND($G$29="Yes",$H$34&gt;=5)</formula>
    </cfRule>
  </conditionalFormatting>
  <conditionalFormatting sqref="J44:K44">
    <cfRule type="expression" dxfId="66" priority="71">
      <formula>AND($G$29="Yes",$H$34&gt;=6)</formula>
    </cfRule>
  </conditionalFormatting>
  <conditionalFormatting sqref="J45:K45">
    <cfRule type="expression" dxfId="65" priority="70">
      <formula>AND($G$29="Yes",$H$34&gt;=7)</formula>
    </cfRule>
  </conditionalFormatting>
  <conditionalFormatting sqref="J46:K46">
    <cfRule type="expression" dxfId="64" priority="69">
      <formula>AND($G$29="Yes",$H$34&gt;=8)</formula>
    </cfRule>
  </conditionalFormatting>
  <conditionalFormatting sqref="J47:K47">
    <cfRule type="expression" dxfId="63" priority="68">
      <formula>AND($G$29="Yes",$H$34&gt;=9)</formula>
    </cfRule>
  </conditionalFormatting>
  <conditionalFormatting sqref="J48:K48">
    <cfRule type="expression" dxfId="62" priority="67">
      <formula>AND($G$29="Yes",$H$34&gt;=10)</formula>
    </cfRule>
  </conditionalFormatting>
  <conditionalFormatting sqref="J49:K49">
    <cfRule type="expression" dxfId="61" priority="66">
      <formula>AND($G$29="Yes",$H$34&gt;=11)</formula>
    </cfRule>
  </conditionalFormatting>
  <conditionalFormatting sqref="J50:K50">
    <cfRule type="expression" dxfId="60" priority="65">
      <formula>AND($G$29="Yes",$H$34&gt;=12)</formula>
    </cfRule>
  </conditionalFormatting>
  <conditionalFormatting sqref="J51:K51">
    <cfRule type="expression" dxfId="59" priority="64">
      <formula>AND($G$29="Yes",$H$34&gt;=13)</formula>
    </cfRule>
  </conditionalFormatting>
  <conditionalFormatting sqref="J52:K52">
    <cfRule type="expression" dxfId="58" priority="63">
      <formula>AND($G$29="Yes",$H$34&gt;=14)</formula>
    </cfRule>
  </conditionalFormatting>
  <conditionalFormatting sqref="J53:K53">
    <cfRule type="expression" dxfId="57" priority="62">
      <formula>AND($G$29="Yes",$H$34&gt;=15)</formula>
    </cfRule>
  </conditionalFormatting>
  <conditionalFormatting sqref="C31:I31">
    <cfRule type="expression" dxfId="56" priority="61">
      <formula>AND($G$27="Yes",$G$29="Yes")</formula>
    </cfRule>
  </conditionalFormatting>
  <conditionalFormatting sqref="J31">
    <cfRule type="expression" dxfId="55" priority="60">
      <formula>AND($G$27="Yes",$G$29="Yes")</formula>
    </cfRule>
  </conditionalFormatting>
  <conditionalFormatting sqref="G29">
    <cfRule type="expression" dxfId="54" priority="57">
      <formula>$G$29&lt;&gt;""</formula>
    </cfRule>
  </conditionalFormatting>
  <conditionalFormatting sqref="H38">
    <cfRule type="expression" dxfId="53" priority="55">
      <formula>$I$38&lt;&gt;""</formula>
    </cfRule>
  </conditionalFormatting>
  <conditionalFormatting sqref="H39">
    <cfRule type="expression" dxfId="52" priority="53">
      <formula>H39="No"</formula>
    </cfRule>
    <cfRule type="expression" dxfId="51" priority="54">
      <formula>H39="Yes"</formula>
    </cfRule>
    <cfRule type="expression" dxfId="50" priority="56">
      <formula>$H$34&gt;=1</formula>
    </cfRule>
  </conditionalFormatting>
  <conditionalFormatting sqref="H40">
    <cfRule type="expression" dxfId="49" priority="50">
      <formula>H40="No"</formula>
    </cfRule>
    <cfRule type="expression" dxfId="48" priority="51">
      <formula>H40="Yes"</formula>
    </cfRule>
    <cfRule type="expression" dxfId="47" priority="52">
      <formula>$H$34&gt;=2</formula>
    </cfRule>
  </conditionalFormatting>
  <conditionalFormatting sqref="H41">
    <cfRule type="expression" dxfId="46" priority="47">
      <formula>H41="No"</formula>
    </cfRule>
    <cfRule type="expression" dxfId="45" priority="48">
      <formula>H41="Yes"</formula>
    </cfRule>
    <cfRule type="expression" dxfId="44" priority="49">
      <formula>$H$34&gt;=3</formula>
    </cfRule>
  </conditionalFormatting>
  <conditionalFormatting sqref="H42">
    <cfRule type="expression" dxfId="43" priority="44">
      <formula>H42="No"</formula>
    </cfRule>
    <cfRule type="expression" dxfId="42" priority="45">
      <formula>H42="Yes"</formula>
    </cfRule>
    <cfRule type="expression" dxfId="41" priority="46">
      <formula>$H$34&gt;=4</formula>
    </cfRule>
  </conditionalFormatting>
  <conditionalFormatting sqref="H43">
    <cfRule type="expression" dxfId="40" priority="41">
      <formula>H43="No"</formula>
    </cfRule>
    <cfRule type="expression" dxfId="39" priority="42">
      <formula>H43="Yes"</formula>
    </cfRule>
    <cfRule type="expression" dxfId="38" priority="43">
      <formula>$H$34&gt;=5</formula>
    </cfRule>
  </conditionalFormatting>
  <conditionalFormatting sqref="H44">
    <cfRule type="expression" dxfId="37" priority="38">
      <formula>H44="No"</formula>
    </cfRule>
    <cfRule type="expression" dxfId="36" priority="39">
      <formula>H44="Yes"</formula>
    </cfRule>
    <cfRule type="expression" dxfId="35" priority="40">
      <formula>$H$34&gt;=6</formula>
    </cfRule>
  </conditionalFormatting>
  <conditionalFormatting sqref="H45">
    <cfRule type="expression" dxfId="34" priority="35">
      <formula>H45="No"</formula>
    </cfRule>
    <cfRule type="expression" dxfId="33" priority="36">
      <formula>H45="Yes"</formula>
    </cfRule>
    <cfRule type="expression" dxfId="32" priority="37">
      <formula>$H$34&gt;=7</formula>
    </cfRule>
  </conditionalFormatting>
  <conditionalFormatting sqref="H46">
    <cfRule type="expression" dxfId="31" priority="32">
      <formula>H46="No"</formula>
    </cfRule>
    <cfRule type="expression" dxfId="30" priority="33">
      <formula>H46="Yes"</formula>
    </cfRule>
    <cfRule type="expression" dxfId="29" priority="34">
      <formula>$H$34&gt;=8</formula>
    </cfRule>
  </conditionalFormatting>
  <conditionalFormatting sqref="H47">
    <cfRule type="expression" dxfId="28" priority="29">
      <formula>H47="No"</formula>
    </cfRule>
    <cfRule type="expression" dxfId="27" priority="30">
      <formula>H47="Yes"</formula>
    </cfRule>
    <cfRule type="expression" dxfId="26" priority="31">
      <formula>$H$34&gt;=9</formula>
    </cfRule>
  </conditionalFormatting>
  <conditionalFormatting sqref="H48">
    <cfRule type="expression" dxfId="25" priority="26">
      <formula>H48="No"</formula>
    </cfRule>
    <cfRule type="expression" dxfId="24" priority="27">
      <formula>H48="Yes"</formula>
    </cfRule>
    <cfRule type="expression" dxfId="23" priority="28">
      <formula>$H$34&gt;=10</formula>
    </cfRule>
  </conditionalFormatting>
  <conditionalFormatting sqref="H49">
    <cfRule type="expression" dxfId="22" priority="23">
      <formula>H49="No"</formula>
    </cfRule>
    <cfRule type="expression" dxfId="21" priority="24">
      <formula>H49="Yes"</formula>
    </cfRule>
    <cfRule type="expression" dxfId="20" priority="25">
      <formula>$H$34&gt;=11</formula>
    </cfRule>
  </conditionalFormatting>
  <conditionalFormatting sqref="H50">
    <cfRule type="expression" dxfId="19" priority="20">
      <formula>H50="No"</formula>
    </cfRule>
    <cfRule type="expression" dxfId="18" priority="21">
      <formula>H50="Yes"</formula>
    </cfRule>
    <cfRule type="expression" dxfId="17" priority="22">
      <formula>$H$34&gt;=12</formula>
    </cfRule>
  </conditionalFormatting>
  <conditionalFormatting sqref="H51">
    <cfRule type="expression" dxfId="16" priority="17">
      <formula>H51="No"</formula>
    </cfRule>
    <cfRule type="expression" dxfId="15" priority="18">
      <formula>H51="Yes"</formula>
    </cfRule>
    <cfRule type="expression" dxfId="14" priority="19">
      <formula>$H$34&gt;=13</formula>
    </cfRule>
  </conditionalFormatting>
  <conditionalFormatting sqref="H52">
    <cfRule type="expression" dxfId="13" priority="14">
      <formula>H52="No"</formula>
    </cfRule>
    <cfRule type="expression" dxfId="12" priority="15">
      <formula>H52="Yes"</formula>
    </cfRule>
    <cfRule type="expression" dxfId="11" priority="16">
      <formula>$H$34&gt;=14</formula>
    </cfRule>
  </conditionalFormatting>
  <conditionalFormatting sqref="H53">
    <cfRule type="expression" dxfId="10" priority="11">
      <formula>H53="No"</formula>
    </cfRule>
    <cfRule type="expression" dxfId="9" priority="12">
      <formula>H53="Yes"</formula>
    </cfRule>
    <cfRule type="expression" dxfId="8" priority="13">
      <formula>$H$34&gt;=15</formula>
    </cfRule>
  </conditionalFormatting>
  <conditionalFormatting sqref="C36:K36">
    <cfRule type="expression" dxfId="7" priority="10">
      <formula>$C$36&lt;&gt;""</formula>
    </cfRule>
  </conditionalFormatting>
  <conditionalFormatting sqref="C37:K37">
    <cfRule type="expression" dxfId="6" priority="59">
      <formula>AND($G$29="Yes",$C$36&lt;&gt;"")</formula>
    </cfRule>
    <cfRule type="expression" dxfId="5" priority="153">
      <formula>AND($G$29="No",$C$36&lt;&gt;"")</formula>
    </cfRule>
  </conditionalFormatting>
  <conditionalFormatting sqref="G27">
    <cfRule type="expression" dxfId="4" priority="9">
      <formula>$G$27&lt;&gt;""</formula>
    </cfRule>
  </conditionalFormatting>
  <dataValidations count="7">
    <dataValidation type="list" allowBlank="1" showInputMessage="1" showErrorMessage="1" sqref="Z114:AA114 Z111:AA111 Q90:R90 Q95:R95 Z95:AA95 AI95:AJ95 AR95:AS95">
      <formula1>"Please Select, Yes, No"</formula1>
    </dataValidation>
    <dataValidation type="list" allowBlank="1" showInputMessage="1" showErrorMessage="1" sqref="Q63:T63">
      <formula1>"Please Select, End of Add/Drop, First Day of Class, IPEDS reported number, Major Code Assigned by Registrar, Other"</formula1>
    </dataValidation>
    <dataValidation type="list" allowBlank="1" showInputMessage="1" showErrorMessage="1" sqref="Q67 Q71 Z63 Z69 AE74:AF74 BA71 AI68 AI74 AI63:AJ63 BA63:BB63 AR68:AS68 BA67 AR63:AS63 Z74:AA74">
      <formula1>"Please Select, No, Yes"</formula1>
    </dataValidation>
    <dataValidation type="list" allowBlank="1" showInputMessage="1" showErrorMessage="1" sqref="H34">
      <formula1>"1, 2, 3, 4, 5, 6, 7, 8, 9,10,11,12,13,14,15"</formula1>
    </dataValidation>
    <dataValidation type="list" allowBlank="1" showInputMessage="1" showErrorMessage="1" sqref="F39:G53">
      <formula1>"AK, AL, AR, AZ, CA, CO, CT, DC, DE, FL, GA, HI, IA, ID, IL, IN, KS, KY, LA, MA, MD, ME, MI, MN, MO, MS, MT, NC, ND, NE, NH, NJ, NM, NV, NY, OH, OK, OR, PA, RI, SC, SD, TN, TX, UT, VA, VT, WA, WI, WV, WY"</formula1>
    </dataValidation>
    <dataValidation type="list" allowBlank="1" showInputMessage="1" showErrorMessage="1" sqref="J39:K53">
      <formula1>Sat_Cohort</formula1>
    </dataValidation>
    <dataValidation type="list" allowBlank="1" showInputMessage="1" showErrorMessage="1" sqref="J31">
      <formula1>"Please Select, Yes"</formula1>
    </dataValidation>
  </dataValidations>
  <hyperlinks>
    <hyperlink ref="CA126:CE126" location="'2017 Annual Report'!A124" display="'2017 Annual Report'!A124"/>
    <hyperlink ref="L11" r:id="rId1"/>
    <hyperlink ref="CA86:CE87" location="'2018 Annual Report'!A106" display="'2018 Annual Report'!A106"/>
    <hyperlink ref="BM105" location="'2017 Annual Report'!A77" display="'2017 Annual Report'!A77"/>
    <hyperlink ref="BM105:BQ107" location="'2018 Annual Report'!E127" display="'2018 Annual Report'!E127"/>
  </hyperlinks>
  <printOptions horizontalCentered="1"/>
  <pageMargins left="0.15" right="0.15" top="0.25" bottom="0.25" header="0" footer="0"/>
  <pageSetup scale="57" fitToWidth="0" pageOrder="overThenDown" orientation="landscape" r:id="rId2"/>
  <rowBreaks count="4" manualBreakCount="4">
    <brk id="34" max="13" man="1"/>
    <brk id="56" max="13" man="1"/>
    <brk id="84" max="13" man="1"/>
    <brk id="105" max="13" man="1"/>
  </rowBreaks>
  <colBreaks count="6" manualBreakCount="6">
    <brk id="15" max="124" man="1"/>
    <brk id="33" max="124" man="1"/>
    <brk id="51" min="56" max="125" man="1"/>
    <brk id="69" max="1048575" man="1"/>
    <brk id="88" max="307" man="1"/>
    <brk id="106" max="307" man="1"/>
  </colBreak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58" id="{FCBF1F73-F393-4EE8-B436-0F5D5A995408}">
            <xm:f>OR(AND('2022 Annual Report'!G37="No",'2022 Annual Report'!G44="Yes",'2022 Annual Report'!G46="No"),AND(G27="No",G29=""),AND(G27="Yes",G29="No"),G29="Please Select")</xm:f>
            <x14:dxf>
              <font>
                <b/>
                <i val="0"/>
                <color rgb="FFC00000"/>
              </font>
              <fill>
                <patternFill>
                  <bgColor rgb="FFFCFEB4"/>
                </patternFill>
              </fill>
            </x14:dxf>
          </x14:cfRule>
          <xm:sqref>B57:N57</xm:sqref>
        </x14:conditionalFormatting>
        <x14:conditionalFormatting xmlns:xm="http://schemas.microsoft.com/office/excel/2006/main">
          <x14:cfRule type="expression" priority="9542" id="{66509A4D-B271-4DD4-8154-B576A5EA5F78}">
            <xm:f>'2022 Annual Report'!#REF!&lt;&gt;""</xm:f>
            <x14:dxf>
              <fill>
                <patternFill>
                  <bgColor rgb="FF92D050"/>
                </patternFill>
              </fill>
            </x14:dxf>
          </x14:cfRule>
          <xm:sqref>J33:N33</xm:sqref>
        </x14:conditionalFormatting>
        <x14:conditionalFormatting xmlns:xm="http://schemas.microsoft.com/office/excel/2006/main">
          <x14:cfRule type="expression" priority="199" id="{AC701DB9-C2A4-429D-989B-BFBF49F17DB8}">
            <xm:f>'2022 Annual Report'!O27&lt;&gt;""</xm:f>
            <x14:dxf>
              <fill>
                <patternFill>
                  <bgColor rgb="FFFFFF00"/>
                </patternFill>
              </fill>
            </x14:dxf>
          </x14:cfRule>
          <xm:sqref>O29</xm:sqref>
        </x14:conditionalFormatting>
        <x14:conditionalFormatting xmlns:xm="http://schemas.microsoft.com/office/excel/2006/main">
          <x14:cfRule type="expression" priority="1" id="{FEF831DD-7B2A-4127-BB74-9B54C04E2A8E}">
            <xm:f>COUNTIF('2022 Annual Report'!$C$46:$F$46,"The*")</xm:f>
            <x14:dxf>
              <font>
                <b/>
                <i val="0"/>
                <color rgb="FF0070C0"/>
              </font>
              <fill>
                <patternFill>
                  <bgColor rgb="FFF2DCDB"/>
                </patternFill>
              </fill>
            </x14:dxf>
          </x14:cfRule>
          <xm:sqref>C29:F29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Annual Report</vt:lpstr>
      <vt:lpstr>2022 Satellite(s)</vt:lpstr>
      <vt:lpstr>'2022 Satellite(s)'!Print_Area</vt:lpstr>
      <vt:lpstr>'2022 Satellite(s)'!Sat_Cohort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2024-01-02T19:59:20Z</cp:lastPrinted>
  <dcterms:created xsi:type="dcterms:W3CDTF">2015-02-14T20:55:58Z</dcterms:created>
  <dcterms:modified xsi:type="dcterms:W3CDTF">2024-01-29T20:45:33Z</dcterms:modified>
</cp:coreProperties>
</file>