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Lisa's Place\_In Progress\Website Templates\Self Studies\"/>
    </mc:Choice>
  </mc:AlternateContent>
  <xr:revisionPtr revIDLastSave="0" documentId="13_ncr:1_{5960BD67-CCC6-4C28-B316-70312A32F271}" xr6:coauthVersionLast="47" xr6:coauthVersionMax="47" xr10:uidLastSave="{00000000-0000-0000-0000-000000000000}"/>
  <bookViews>
    <workbookView xWindow="-110" yWindow="-110" windowWidth="18020" windowHeight="11020" xr2:uid="{00000000-000D-0000-FFFF-FFFF00000000}"/>
  </bookViews>
  <sheets>
    <sheet name="Instructions" sheetId="2" r:id="rId1"/>
    <sheet name="Program Info" sheetId="3" r:id="rId2"/>
    <sheet name="Standards" sheetId="1" r:id="rId3"/>
    <sheet name="Affiliates" sheetId="4"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1">OFFSET([1]Instructions!$A$1,0,0,53,[1]Instructions!$S$3)</definedName>
    <definedName name="_10">OFFSET('[2]Standard_IV-Evaluation'!$A$1,0,0,50,[1]Instructions!$S$12)</definedName>
    <definedName name="_11">OFFSET('[3]Standard_V-Fair_Practices'!$A$1,0,0,130,[1]Instructions!$S$13)</definedName>
    <definedName name="_12">OFFSET('[1]Alternate &amp; Satellite Locations'!$A$1,0,0,89,[1]Instructions!$S$13)</definedName>
    <definedName name="_2">OFFSET([4]Title!$A$1,0,0,43,[1]Instructions!$S$4)</definedName>
    <definedName name="_3">OFFSET([5]Program_Info!$A$1,0,0,83,[1]Instructions!$S$5)</definedName>
    <definedName name="_4">OFFSET('[6]Standard_I-Sponsorship'!$A$1,0,0,123,[1]Instructions!$S$6)</definedName>
    <definedName name="_5">OFFSET('[7]Standard_II-Goals'!$A$1,0,0,90,[1]Instructions!$S$7)</definedName>
    <definedName name="_6">OFFSET('[8]Standard_III-Resources'!$A$1,0,0,136,[1]Instructions!$S$8)</definedName>
    <definedName name="_7">OFFSET('[9]Standard_III-Personnel'!$A$1,0,0,192,[1]Instructions!$S$9)</definedName>
    <definedName name="_8">OFFSET('[10]Standard_III-Affiliates'!$A$1,0,0,128,[1]Instructions!$S$10)</definedName>
    <definedName name="_9">OFFSET('[11]Standard_III-Preceptors'!$A$1,0,0,86,[1]Instructions!$S$11)</definedName>
    <definedName name="dd_col">INDEX(tbl_choices[],,dd_col_num)</definedName>
    <definedName name="dd_col_num">MATCH(Standards!K1048562,Headers,0)</definedName>
    <definedName name="Instaccred">tbl_choices[]</definedName>
    <definedName name="_xlnm.Print_Area" localSheetId="3">Affiliates!$A$2:$CH$183</definedName>
    <definedName name="_xlnm.Print_Area" localSheetId="0">Instructions!$A$1:$N$47</definedName>
    <definedName name="_xlnm.Print_Area" localSheetId="1">'Program Info'!$A$1:$N$106</definedName>
    <definedName name="_xlnm.Print_Area" localSheetId="2">Standards!$A$1:$N$311</definedName>
    <definedName name="_xlnm.Print_Area">#N/A</definedName>
    <definedName name="PStatus" localSheetId="3">'[1]Standard I-Sponsorship'!$V$20:$V$27</definedName>
    <definedName name="PStatus">'[12]Standard I-Sponsorship'!$V$5:$V$10</definedName>
    <definedName name="PType" localSheetId="3">'[1]Standard I-Sponsorship'!$S$13:$S$24</definedName>
    <definedName name="PType">'[12]Standard I-Sponsorship'!$S$5:$S$16</definedName>
    <definedName name="Result">INDEX(tbl_choices[],,MATCH(Standards!$D$10,Sponsorcategory,0))</definedName>
    <definedName name="SCategory" localSheetId="2">Standards!$V1:$AA1</definedName>
    <definedName name="Sponsorcategory">tbl_choices[#Headers]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9" i="4" l="1"/>
  <c r="B20" i="4"/>
  <c r="H18" i="4"/>
  <c r="H51" i="3"/>
  <c r="C54" i="3"/>
  <c r="J48" i="1"/>
  <c r="J46" i="1"/>
  <c r="D48" i="1"/>
  <c r="D46" i="1"/>
  <c r="A30" i="1"/>
  <c r="I10" i="1"/>
  <c r="A25" i="1"/>
  <c r="A24" i="1"/>
  <c r="A282" i="1"/>
  <c r="A23" i="1" l="1"/>
  <c r="D50" i="1"/>
  <c r="H60" i="1"/>
  <c r="D59" i="1"/>
  <c r="D52" i="1"/>
  <c r="F259" i="1"/>
  <c r="M258" i="1"/>
  <c r="L258" i="1"/>
  <c r="K258" i="1"/>
  <c r="J258" i="1"/>
  <c r="I258" i="1"/>
  <c r="H258" i="1"/>
  <c r="N258" i="1" s="1"/>
  <c r="B4" i="4"/>
  <c r="B4" i="1"/>
  <c r="B78" i="4"/>
  <c r="B15" i="4"/>
  <c r="B145" i="4" l="1"/>
  <c r="B71" i="4"/>
  <c r="BO85" i="4" l="1"/>
  <c r="BB85" i="4"/>
  <c r="AO85" i="4"/>
  <c r="AB85" i="4"/>
  <c r="O85" i="4"/>
  <c r="B85" i="4"/>
  <c r="BO29" i="4"/>
  <c r="BB29" i="4"/>
  <c r="AO29" i="4"/>
  <c r="AB29" i="4"/>
  <c r="O29" i="4"/>
  <c r="B29" i="4"/>
  <c r="B16" i="4"/>
  <c r="B69" i="4"/>
  <c r="B18" i="4"/>
  <c r="B73" i="4"/>
  <c r="B67" i="4"/>
  <c r="B66" i="4"/>
  <c r="B23" i="4"/>
  <c r="D90" i="1" l="1"/>
  <c r="J112" i="1"/>
  <c r="H53" i="3"/>
  <c r="H50" i="3"/>
  <c r="I67" i="4"/>
  <c r="I16" i="4"/>
  <c r="B141" i="4"/>
  <c r="B82" i="4"/>
  <c r="B80" i="4"/>
  <c r="B149" i="4"/>
  <c r="B147" i="4"/>
  <c r="H147" i="4" s="1"/>
  <c r="B76" i="4"/>
  <c r="B183" i="4"/>
  <c r="B13" i="4"/>
  <c r="B27" i="4"/>
  <c r="B25" i="4"/>
  <c r="X172" i="4"/>
  <c r="K172" i="4"/>
  <c r="B151" i="4"/>
  <c r="B143" i="4"/>
  <c r="D23" i="1"/>
  <c r="C10" i="1"/>
  <c r="D19" i="1" s="1"/>
  <c r="Q9" i="1"/>
  <c r="I9" i="1"/>
  <c r="H20" i="1" s="1"/>
  <c r="E13" i="1" l="1"/>
  <c r="D12" i="1"/>
  <c r="E16" i="1"/>
  <c r="E15" i="1"/>
  <c r="E14" i="1"/>
  <c r="J12" i="1"/>
  <c r="H21" i="1"/>
  <c r="A20" i="1" l="1"/>
  <c r="H24" i="1"/>
  <c r="X59" i="4"/>
  <c r="AK59" i="4"/>
  <c r="F43" i="4"/>
  <c r="S43" i="4"/>
  <c r="AF43" i="4"/>
  <c r="AS43" i="4"/>
  <c r="BF43" i="4"/>
  <c r="BS43" i="4"/>
  <c r="A21" i="1" l="1"/>
  <c r="B27" i="1"/>
  <c r="BX59" i="4"/>
  <c r="BK59" i="4"/>
  <c r="AX59" i="4"/>
  <c r="L151" i="4"/>
  <c r="L23" i="4"/>
  <c r="L20" i="4"/>
  <c r="A22" i="1" l="1"/>
  <c r="H134" i="1" s="1"/>
  <c r="H38" i="1"/>
  <c r="O27" i="1"/>
  <c r="D37" i="1"/>
  <c r="D30" i="1"/>
  <c r="H39" i="1"/>
  <c r="D28" i="1"/>
  <c r="R27" i="1"/>
  <c r="E27" i="1"/>
  <c r="BX132" i="4"/>
  <c r="BO31" i="4"/>
  <c r="BO32" i="4"/>
  <c r="BO33" i="4"/>
  <c r="BO34" i="4"/>
  <c r="BR34" i="4"/>
  <c r="BO35" i="4"/>
  <c r="BO37" i="4"/>
  <c r="BO38" i="4"/>
  <c r="BO39" i="4"/>
  <c r="BT42" i="4"/>
  <c r="BO43" i="4"/>
  <c r="BP43" i="4"/>
  <c r="BQ43" i="4"/>
  <c r="BO45" i="4"/>
  <c r="BO47" i="4"/>
  <c r="BP47" i="4"/>
  <c r="BQ47" i="4"/>
  <c r="BR56" i="4"/>
  <c r="BR57" i="4"/>
  <c r="BR59" i="4"/>
  <c r="H66" i="3"/>
  <c r="K2" i="4"/>
  <c r="C3" i="4"/>
  <c r="B3" i="4"/>
  <c r="C2" i="1"/>
  <c r="K1" i="1"/>
  <c r="AE172" i="4"/>
  <c r="R172" i="4"/>
  <c r="E172" i="4"/>
  <c r="AE170" i="4"/>
  <c r="R170" i="4"/>
  <c r="E170" i="4"/>
  <c r="AE169" i="4"/>
  <c r="R169" i="4"/>
  <c r="E169" i="4"/>
  <c r="AB165" i="4"/>
  <c r="O165" i="4"/>
  <c r="B165" i="4"/>
  <c r="AB163" i="4"/>
  <c r="O163" i="4"/>
  <c r="B163" i="4"/>
  <c r="AB162" i="4"/>
  <c r="O162" i="4"/>
  <c r="B162" i="4"/>
  <c r="AB161" i="4"/>
  <c r="O161" i="4"/>
  <c r="B161" i="4"/>
  <c r="AB159" i="4"/>
  <c r="O159" i="4"/>
  <c r="B159" i="4"/>
  <c r="AE158" i="4"/>
  <c r="AB158" i="4"/>
  <c r="R158" i="4"/>
  <c r="O158" i="4"/>
  <c r="E158" i="4"/>
  <c r="B158" i="4"/>
  <c r="BA157" i="4"/>
  <c r="AY157" i="4"/>
  <c r="AW157" i="4"/>
  <c r="AU157" i="4"/>
  <c r="AB157" i="4"/>
  <c r="O157" i="4"/>
  <c r="B157" i="4"/>
  <c r="BA156" i="4"/>
  <c r="AY156" i="4"/>
  <c r="AW156" i="4"/>
  <c r="AU156" i="4"/>
  <c r="AB156" i="4"/>
  <c r="O156" i="4"/>
  <c r="B156" i="4"/>
  <c r="BA155" i="4"/>
  <c r="AY155" i="4"/>
  <c r="AW155" i="4"/>
  <c r="AU155" i="4"/>
  <c r="AB155" i="4"/>
  <c r="O155" i="4"/>
  <c r="B155" i="4"/>
  <c r="BC154" i="4"/>
  <c r="BA154" i="4"/>
  <c r="AY154" i="4"/>
  <c r="AW154" i="4"/>
  <c r="AU154" i="4"/>
  <c r="BC153" i="4"/>
  <c r="BA153" i="4"/>
  <c r="AY153" i="4"/>
  <c r="AW153" i="4"/>
  <c r="AU153" i="4"/>
  <c r="AB153" i="4"/>
  <c r="O153" i="4"/>
  <c r="B153" i="4"/>
  <c r="H151" i="4"/>
  <c r="J151" i="4" s="1"/>
  <c r="BR132" i="4"/>
  <c r="BK132" i="4"/>
  <c r="BE132" i="4"/>
  <c r="AX132" i="4"/>
  <c r="AR132" i="4"/>
  <c r="AK132" i="4"/>
  <c r="AE132" i="4"/>
  <c r="X132" i="4"/>
  <c r="R132" i="4"/>
  <c r="K132" i="4"/>
  <c r="E132" i="4"/>
  <c r="BR130" i="4"/>
  <c r="BE130" i="4"/>
  <c r="AR130" i="4"/>
  <c r="AE130" i="4"/>
  <c r="R130" i="4"/>
  <c r="E130" i="4"/>
  <c r="BR129" i="4"/>
  <c r="BE129" i="4"/>
  <c r="AR129" i="4"/>
  <c r="AE129" i="4"/>
  <c r="R129" i="4"/>
  <c r="E129" i="4"/>
  <c r="BV125" i="4"/>
  <c r="BN125" i="4"/>
  <c r="BI125" i="4"/>
  <c r="BA125" i="4"/>
  <c r="AV125" i="4"/>
  <c r="AN125" i="4"/>
  <c r="AI125" i="4"/>
  <c r="AA125" i="4"/>
  <c r="V125" i="4"/>
  <c r="N125" i="4"/>
  <c r="I125" i="4"/>
  <c r="A125" i="4"/>
  <c r="BV124" i="4"/>
  <c r="BN124" i="4"/>
  <c r="BI124" i="4"/>
  <c r="BA124" i="4"/>
  <c r="AV124" i="4"/>
  <c r="AN124" i="4"/>
  <c r="AI124" i="4"/>
  <c r="AA124" i="4"/>
  <c r="V124" i="4"/>
  <c r="N124" i="4"/>
  <c r="I124" i="4"/>
  <c r="A124" i="4"/>
  <c r="BV123" i="4"/>
  <c r="BN123" i="4"/>
  <c r="BI123" i="4"/>
  <c r="BA123" i="4"/>
  <c r="AV123" i="4"/>
  <c r="AN123" i="4"/>
  <c r="AI123" i="4"/>
  <c r="AA123" i="4"/>
  <c r="V123" i="4"/>
  <c r="N123" i="4"/>
  <c r="I123" i="4"/>
  <c r="A123" i="4"/>
  <c r="BV122" i="4"/>
  <c r="BN122" i="4"/>
  <c r="BI122" i="4"/>
  <c r="BA122" i="4"/>
  <c r="AV122" i="4"/>
  <c r="AN122" i="4"/>
  <c r="AI122" i="4"/>
  <c r="AA122" i="4"/>
  <c r="V122" i="4"/>
  <c r="N122" i="4"/>
  <c r="I122" i="4"/>
  <c r="A122" i="4"/>
  <c r="BV121" i="4"/>
  <c r="BN121" i="4"/>
  <c r="BI121" i="4"/>
  <c r="BA121" i="4"/>
  <c r="AV121" i="4"/>
  <c r="AN121" i="4"/>
  <c r="AI121" i="4"/>
  <c r="AA121" i="4"/>
  <c r="V121" i="4"/>
  <c r="N121" i="4"/>
  <c r="I121" i="4"/>
  <c r="A121" i="4"/>
  <c r="BV120" i="4"/>
  <c r="BN120" i="4"/>
  <c r="BI120" i="4"/>
  <c r="BA120" i="4"/>
  <c r="AV120" i="4"/>
  <c r="AN120" i="4"/>
  <c r="AI120" i="4"/>
  <c r="AA120" i="4"/>
  <c r="V120" i="4"/>
  <c r="N120" i="4"/>
  <c r="I120" i="4"/>
  <c r="A120" i="4"/>
  <c r="BV119" i="4"/>
  <c r="BN119" i="4"/>
  <c r="BI119" i="4"/>
  <c r="BA119" i="4"/>
  <c r="AV119" i="4"/>
  <c r="AN119" i="4"/>
  <c r="AI119" i="4"/>
  <c r="AA119" i="4"/>
  <c r="V119" i="4"/>
  <c r="N119" i="4"/>
  <c r="I119" i="4"/>
  <c r="A119" i="4"/>
  <c r="BV118" i="4"/>
  <c r="BN118" i="4"/>
  <c r="BI118" i="4"/>
  <c r="BA118" i="4"/>
  <c r="AV118" i="4"/>
  <c r="AN118" i="4"/>
  <c r="AI118" i="4"/>
  <c r="AA118" i="4"/>
  <c r="V118" i="4"/>
  <c r="N118" i="4"/>
  <c r="I118" i="4"/>
  <c r="A118" i="4"/>
  <c r="BV117" i="4"/>
  <c r="BN117" i="4"/>
  <c r="BI117" i="4"/>
  <c r="BA117" i="4"/>
  <c r="AV117" i="4"/>
  <c r="AN117" i="4"/>
  <c r="AI117" i="4"/>
  <c r="AA117" i="4"/>
  <c r="V117" i="4"/>
  <c r="N117" i="4"/>
  <c r="I117" i="4"/>
  <c r="A117" i="4"/>
  <c r="BV116" i="4"/>
  <c r="BN116" i="4"/>
  <c r="BI116" i="4"/>
  <c r="BA116" i="4"/>
  <c r="AV116" i="4"/>
  <c r="AN116" i="4"/>
  <c r="AI116" i="4"/>
  <c r="AA116" i="4"/>
  <c r="V116" i="4"/>
  <c r="N116" i="4"/>
  <c r="I116" i="4"/>
  <c r="A116" i="4"/>
  <c r="BV115" i="4"/>
  <c r="BN115" i="4"/>
  <c r="BI115" i="4"/>
  <c r="BA115" i="4"/>
  <c r="AV115" i="4"/>
  <c r="AN115" i="4"/>
  <c r="AI115" i="4"/>
  <c r="AA115" i="4"/>
  <c r="V115" i="4"/>
  <c r="N115" i="4"/>
  <c r="I115" i="4"/>
  <c r="A115" i="4"/>
  <c r="BV114" i="4"/>
  <c r="BN114" i="4"/>
  <c r="BI114" i="4"/>
  <c r="BA114" i="4"/>
  <c r="AV114" i="4"/>
  <c r="AN114" i="4"/>
  <c r="AI114" i="4"/>
  <c r="AA114" i="4"/>
  <c r="V114" i="4"/>
  <c r="N114" i="4"/>
  <c r="I114" i="4"/>
  <c r="A114" i="4"/>
  <c r="BV113" i="4"/>
  <c r="BN113" i="4"/>
  <c r="BI113" i="4"/>
  <c r="BA113" i="4"/>
  <c r="AV113" i="4"/>
  <c r="AN113" i="4"/>
  <c r="AI113" i="4"/>
  <c r="AA113" i="4"/>
  <c r="V113" i="4"/>
  <c r="N113" i="4"/>
  <c r="I113" i="4"/>
  <c r="A113" i="4"/>
  <c r="BV112" i="4"/>
  <c r="BN112" i="4"/>
  <c r="BI112" i="4"/>
  <c r="BA112" i="4"/>
  <c r="AV112" i="4"/>
  <c r="AN112" i="4"/>
  <c r="AI112" i="4"/>
  <c r="AA112" i="4"/>
  <c r="V112" i="4"/>
  <c r="N112" i="4"/>
  <c r="I112" i="4"/>
  <c r="A112" i="4"/>
  <c r="BV111" i="4"/>
  <c r="BN111" i="4"/>
  <c r="BI111" i="4"/>
  <c r="BA111" i="4"/>
  <c r="AV111" i="4"/>
  <c r="AN111" i="4"/>
  <c r="AI111" i="4"/>
  <c r="AA111" i="4"/>
  <c r="V111" i="4"/>
  <c r="N111" i="4"/>
  <c r="I111" i="4"/>
  <c r="A111" i="4"/>
  <c r="BV110" i="4"/>
  <c r="BN110" i="4"/>
  <c r="BI110" i="4"/>
  <c r="BA110" i="4"/>
  <c r="AV110" i="4"/>
  <c r="AN110" i="4"/>
  <c r="AI110" i="4"/>
  <c r="AA110" i="4"/>
  <c r="V110" i="4"/>
  <c r="N110" i="4"/>
  <c r="I110" i="4"/>
  <c r="A110" i="4"/>
  <c r="BV109" i="4"/>
  <c r="BN109" i="4"/>
  <c r="BI109" i="4"/>
  <c r="BA109" i="4"/>
  <c r="AV109" i="4"/>
  <c r="AN109" i="4"/>
  <c r="AI109" i="4"/>
  <c r="AA109" i="4"/>
  <c r="V109" i="4"/>
  <c r="N109" i="4"/>
  <c r="I109" i="4"/>
  <c r="A109" i="4"/>
  <c r="BV108" i="4"/>
  <c r="BN108" i="4"/>
  <c r="BI108" i="4"/>
  <c r="BA108" i="4"/>
  <c r="AV108" i="4"/>
  <c r="AN108" i="4"/>
  <c r="AI108" i="4"/>
  <c r="AA108" i="4"/>
  <c r="V108" i="4"/>
  <c r="N108" i="4"/>
  <c r="I108" i="4"/>
  <c r="A108" i="4"/>
  <c r="BV107" i="4"/>
  <c r="BN107" i="4"/>
  <c r="BI107" i="4"/>
  <c r="BA107" i="4"/>
  <c r="AV107" i="4"/>
  <c r="AN107" i="4"/>
  <c r="AI107" i="4"/>
  <c r="AA107" i="4"/>
  <c r="V107" i="4"/>
  <c r="N107" i="4"/>
  <c r="I107" i="4"/>
  <c r="A107" i="4"/>
  <c r="BV106" i="4"/>
  <c r="BN106" i="4"/>
  <c r="BI106" i="4"/>
  <c r="BA106" i="4"/>
  <c r="AV106" i="4"/>
  <c r="AN106" i="4"/>
  <c r="AI106" i="4"/>
  <c r="AA106" i="4"/>
  <c r="V106" i="4"/>
  <c r="N106" i="4"/>
  <c r="I106" i="4"/>
  <c r="A106" i="4"/>
  <c r="BV105" i="4"/>
  <c r="BN105" i="4"/>
  <c r="BI105" i="4"/>
  <c r="BA105" i="4"/>
  <c r="AV105" i="4"/>
  <c r="AN105" i="4"/>
  <c r="AI105" i="4"/>
  <c r="AA105" i="4"/>
  <c r="V105" i="4"/>
  <c r="N105" i="4"/>
  <c r="I105" i="4"/>
  <c r="A105" i="4"/>
  <c r="BV104" i="4"/>
  <c r="BN104" i="4"/>
  <c r="BI104" i="4"/>
  <c r="BA104" i="4"/>
  <c r="AV104" i="4"/>
  <c r="AN104" i="4"/>
  <c r="AI104" i="4"/>
  <c r="AA104" i="4"/>
  <c r="V104" i="4"/>
  <c r="N104" i="4"/>
  <c r="I104" i="4"/>
  <c r="A104" i="4"/>
  <c r="BV103" i="4"/>
  <c r="BN103" i="4"/>
  <c r="BI103" i="4"/>
  <c r="BA103" i="4"/>
  <c r="AV103" i="4"/>
  <c r="AN103" i="4"/>
  <c r="AI103" i="4"/>
  <c r="AA103" i="4"/>
  <c r="V103" i="4"/>
  <c r="N103" i="4"/>
  <c r="I103" i="4"/>
  <c r="A103" i="4"/>
  <c r="BV102" i="4"/>
  <c r="BN102" i="4"/>
  <c r="BI102" i="4"/>
  <c r="BA102" i="4"/>
  <c r="AV102" i="4"/>
  <c r="AN102" i="4"/>
  <c r="AI102" i="4"/>
  <c r="AA102" i="4"/>
  <c r="V102" i="4"/>
  <c r="N102" i="4"/>
  <c r="I102" i="4"/>
  <c r="A102" i="4"/>
  <c r="BV101" i="4"/>
  <c r="BV100" i="4" s="1"/>
  <c r="BN101" i="4"/>
  <c r="BI101" i="4"/>
  <c r="BA101" i="4"/>
  <c r="AV101" i="4"/>
  <c r="AN101" i="4"/>
  <c r="AI101" i="4"/>
  <c r="AA101" i="4"/>
  <c r="V101" i="4"/>
  <c r="N101" i="4"/>
  <c r="I101" i="4"/>
  <c r="A101" i="4"/>
  <c r="CA100" i="4"/>
  <c r="BT100" i="4"/>
  <c r="BR100" i="4"/>
  <c r="BO100" i="4"/>
  <c r="BN100" i="4"/>
  <c r="BI100" i="4"/>
  <c r="BG100" i="4"/>
  <c r="BE100" i="4"/>
  <c r="BB100" i="4"/>
  <c r="BA100" i="4"/>
  <c r="AV100" i="4"/>
  <c r="AT100" i="4"/>
  <c r="AR100" i="4"/>
  <c r="AO100" i="4"/>
  <c r="AN100" i="4"/>
  <c r="AI100" i="4"/>
  <c r="AG100" i="4"/>
  <c r="AE100" i="4"/>
  <c r="AB100" i="4"/>
  <c r="AA100" i="4"/>
  <c r="V100" i="4"/>
  <c r="T100" i="4"/>
  <c r="R100" i="4"/>
  <c r="O100" i="4"/>
  <c r="N100" i="4"/>
  <c r="I100" i="4"/>
  <c r="H78" i="4" s="1"/>
  <c r="G100" i="4"/>
  <c r="E100" i="4"/>
  <c r="B100" i="4"/>
  <c r="A100" i="4"/>
  <c r="H73" i="4" s="1"/>
  <c r="BO99" i="4"/>
  <c r="BB99" i="4"/>
  <c r="AO99" i="4"/>
  <c r="AB99" i="4"/>
  <c r="O99" i="4"/>
  <c r="B99" i="4"/>
  <c r="BQ98" i="4"/>
  <c r="BO98" i="4"/>
  <c r="BD98" i="4"/>
  <c r="BB98" i="4"/>
  <c r="AQ98" i="4"/>
  <c r="AO98" i="4"/>
  <c r="AD98" i="4"/>
  <c r="AB98" i="4"/>
  <c r="Q98" i="4"/>
  <c r="O98" i="4"/>
  <c r="D98" i="4"/>
  <c r="B98" i="4"/>
  <c r="BO95" i="4"/>
  <c r="BB95" i="4"/>
  <c r="AO95" i="4"/>
  <c r="AB95" i="4"/>
  <c r="O95" i="4"/>
  <c r="B95" i="4"/>
  <c r="BO94" i="4"/>
  <c r="BB94" i="4"/>
  <c r="AO94" i="4"/>
  <c r="AB94" i="4"/>
  <c r="O94" i="4"/>
  <c r="H76" i="4" s="1"/>
  <c r="B94" i="4"/>
  <c r="BO91" i="4"/>
  <c r="BB91" i="4"/>
  <c r="AO91" i="4"/>
  <c r="AB91" i="4"/>
  <c r="O91" i="4"/>
  <c r="B91" i="4"/>
  <c r="BR90" i="4"/>
  <c r="BO90" i="4"/>
  <c r="BE90" i="4"/>
  <c r="BB90" i="4"/>
  <c r="AR90" i="4"/>
  <c r="AO90" i="4"/>
  <c r="AE90" i="4"/>
  <c r="AB90" i="4"/>
  <c r="R90" i="4"/>
  <c r="O90" i="4"/>
  <c r="E90" i="4"/>
  <c r="B90" i="4"/>
  <c r="BO89" i="4"/>
  <c r="BB89" i="4"/>
  <c r="AO89" i="4"/>
  <c r="AB89" i="4"/>
  <c r="O89" i="4"/>
  <c r="B89" i="4"/>
  <c r="BO88" i="4"/>
  <c r="BB88" i="4"/>
  <c r="AO88" i="4"/>
  <c r="AB88" i="4"/>
  <c r="O88" i="4"/>
  <c r="B88" i="4"/>
  <c r="BO87" i="4"/>
  <c r="BB87" i="4"/>
  <c r="AO87" i="4"/>
  <c r="AB87" i="4"/>
  <c r="O87" i="4"/>
  <c r="B87" i="4"/>
  <c r="BE59" i="4"/>
  <c r="AR59" i="4"/>
  <c r="AE59" i="4"/>
  <c r="R59" i="4"/>
  <c r="K59" i="4"/>
  <c r="E59" i="4"/>
  <c r="BE57" i="4"/>
  <c r="AR57" i="4"/>
  <c r="AE57" i="4"/>
  <c r="R57" i="4"/>
  <c r="E57" i="4"/>
  <c r="BE56" i="4"/>
  <c r="AR56" i="4"/>
  <c r="AE56" i="4"/>
  <c r="R56" i="4"/>
  <c r="E56" i="4"/>
  <c r="BD47" i="4"/>
  <c r="BC47" i="4"/>
  <c r="BB47" i="4"/>
  <c r="AQ47" i="4"/>
  <c r="AP47" i="4"/>
  <c r="AO47" i="4"/>
  <c r="AD47" i="4"/>
  <c r="AC47" i="4"/>
  <c r="AB47" i="4"/>
  <c r="Q47" i="4"/>
  <c r="P47" i="4"/>
  <c r="O47" i="4"/>
  <c r="D47" i="4"/>
  <c r="C47" i="4"/>
  <c r="B47" i="4"/>
  <c r="BB45" i="4"/>
  <c r="AO45" i="4"/>
  <c r="AB45" i="4"/>
  <c r="O45" i="4"/>
  <c r="B45" i="4"/>
  <c r="BD43" i="4"/>
  <c r="BC43" i="4"/>
  <c r="BB43" i="4"/>
  <c r="AQ43" i="4"/>
  <c r="AP43" i="4"/>
  <c r="AO43" i="4"/>
  <c r="AD43" i="4"/>
  <c r="AC43" i="4"/>
  <c r="AB43" i="4"/>
  <c r="Q43" i="4"/>
  <c r="P43" i="4"/>
  <c r="O43" i="4"/>
  <c r="D43" i="4"/>
  <c r="C43" i="4"/>
  <c r="B43" i="4"/>
  <c r="BG42" i="4"/>
  <c r="AT42" i="4"/>
  <c r="AG42" i="4"/>
  <c r="T42" i="4"/>
  <c r="G42" i="4"/>
  <c r="BB39" i="4"/>
  <c r="AO39" i="4"/>
  <c r="AB39" i="4"/>
  <c r="O39" i="4"/>
  <c r="B39" i="4"/>
  <c r="BB38" i="4"/>
  <c r="AO38" i="4"/>
  <c r="AB38" i="4"/>
  <c r="O38" i="4"/>
  <c r="B38" i="4"/>
  <c r="BB37" i="4"/>
  <c r="AO37" i="4"/>
  <c r="AB37" i="4"/>
  <c r="O37" i="4"/>
  <c r="B37" i="4"/>
  <c r="BB35" i="4"/>
  <c r="AO35" i="4"/>
  <c r="AB35" i="4"/>
  <c r="O35" i="4"/>
  <c r="B35" i="4"/>
  <c r="BE34" i="4"/>
  <c r="BB34" i="4"/>
  <c r="AR34" i="4"/>
  <c r="AO34" i="4"/>
  <c r="AE34" i="4"/>
  <c r="AB34" i="4"/>
  <c r="R34" i="4"/>
  <c r="O34" i="4"/>
  <c r="E34" i="4"/>
  <c r="B34" i="4"/>
  <c r="BB33" i="4"/>
  <c r="AO33" i="4"/>
  <c r="AB33" i="4"/>
  <c r="O33" i="4"/>
  <c r="B33" i="4"/>
  <c r="BB32" i="4"/>
  <c r="AO32" i="4"/>
  <c r="AB32" i="4"/>
  <c r="O32" i="4"/>
  <c r="B32" i="4"/>
  <c r="BB31" i="4"/>
  <c r="AO31" i="4"/>
  <c r="AB31" i="4"/>
  <c r="O31" i="4"/>
  <c r="B31" i="4"/>
  <c r="H80" i="1" l="1"/>
  <c r="H61" i="1"/>
  <c r="H64" i="1"/>
  <c r="H63" i="1"/>
  <c r="H62" i="1"/>
  <c r="H23" i="4"/>
  <c r="J23" i="4" s="1"/>
  <c r="BV31" i="4"/>
  <c r="BO55" i="4" s="1"/>
  <c r="CB125" i="4"/>
  <c r="CB124" i="4" s="1"/>
  <c r="CB123" i="4" s="1"/>
  <c r="CB122" i="4" s="1"/>
  <c r="CB121" i="4" s="1"/>
  <c r="CB120" i="4" s="1"/>
  <c r="CB119" i="4" s="1"/>
  <c r="CB118" i="4" s="1"/>
  <c r="CB117" i="4" s="1"/>
  <c r="CB116" i="4" s="1"/>
  <c r="CB115" i="4" s="1"/>
  <c r="CB114" i="4" s="1"/>
  <c r="CB113" i="4" s="1"/>
  <c r="CB112" i="4" s="1"/>
  <c r="CB111" i="4" s="1"/>
  <c r="CB110" i="4" s="1"/>
  <c r="CB109" i="4" s="1"/>
  <c r="CB108" i="4" s="1"/>
  <c r="CB106" i="4" s="1"/>
  <c r="CB105" i="4" s="1"/>
  <c r="CB104" i="4" s="1"/>
  <c r="CB103" i="4" s="1"/>
  <c r="CB102" i="4" s="1"/>
  <c r="CB101" i="4" s="1"/>
  <c r="BI31" i="4"/>
  <c r="BB55" i="4" s="1"/>
  <c r="AV31" i="4"/>
  <c r="AO55" i="4" s="1"/>
  <c r="AI31" i="4"/>
  <c r="AB55" i="4" s="1"/>
  <c r="V31" i="4"/>
  <c r="O55" i="4" s="1"/>
  <c r="I31" i="4"/>
  <c r="B55" i="4" s="1"/>
  <c r="CL38" i="4"/>
  <c r="CJ38" i="4"/>
  <c r="CH38" i="4"/>
  <c r="CN37" i="4"/>
  <c r="CL37" i="4"/>
  <c r="CJ37" i="4"/>
  <c r="CH37" i="4"/>
  <c r="CN36" i="4"/>
  <c r="CL36" i="4"/>
  <c r="CJ36" i="4"/>
  <c r="CH36" i="4"/>
  <c r="CN35" i="4"/>
  <c r="CL35" i="4"/>
  <c r="CJ35" i="4"/>
  <c r="CH35" i="4"/>
  <c r="CN34" i="4"/>
  <c r="CL34" i="4"/>
  <c r="CJ34" i="4"/>
  <c r="CH34" i="4"/>
  <c r="AI155" i="4"/>
  <c r="V155" i="4"/>
  <c r="I155" i="4"/>
  <c r="H149" i="4" s="1"/>
  <c r="BV87" i="4"/>
  <c r="BO128" i="4" s="1"/>
  <c r="BI87" i="4"/>
  <c r="BB128" i="4" s="1"/>
  <c r="AV87" i="4"/>
  <c r="AO128" i="4" s="1"/>
  <c r="AI87" i="4"/>
  <c r="AB128" i="4" s="1"/>
  <c r="V87" i="4"/>
  <c r="O128" i="4" s="1"/>
  <c r="I87" i="4"/>
  <c r="CL94" i="4"/>
  <c r="CJ94" i="4"/>
  <c r="CH94" i="4"/>
  <c r="AY162" i="4"/>
  <c r="AW162" i="4"/>
  <c r="AU162" i="4"/>
  <c r="BA161" i="4"/>
  <c r="AY161" i="4"/>
  <c r="AW161" i="4"/>
  <c r="AU161" i="4"/>
  <c r="BA160" i="4"/>
  <c r="AY160" i="4"/>
  <c r="AW160" i="4"/>
  <c r="AU160" i="4"/>
  <c r="BA159" i="4"/>
  <c r="AY159" i="4"/>
  <c r="AW159" i="4"/>
  <c r="AU159" i="4"/>
  <c r="BA158" i="4"/>
  <c r="AY158" i="4"/>
  <c r="AW158" i="4"/>
  <c r="AU158" i="4"/>
  <c r="B128" i="4" l="1"/>
  <c r="H71" i="4"/>
  <c r="BR58" i="4"/>
  <c r="BO57" i="4" s="1"/>
  <c r="E131" i="4"/>
  <c r="B130" i="4" s="1"/>
  <c r="R131" i="4"/>
  <c r="O130" i="4" s="1"/>
  <c r="AE131" i="4"/>
  <c r="AB130" i="4" s="1"/>
  <c r="AR131" i="4"/>
  <c r="AO130" i="4" s="1"/>
  <c r="BE131" i="4"/>
  <c r="BB130" i="4" s="1"/>
  <c r="BR131" i="4"/>
  <c r="BO130" i="4" s="1"/>
  <c r="E171" i="4"/>
  <c r="B170" i="4" s="1"/>
  <c r="B168" i="4"/>
  <c r="R171" i="4"/>
  <c r="O170" i="4" s="1"/>
  <c r="O168" i="4"/>
  <c r="AE171" i="4"/>
  <c r="AB170" i="4" s="1"/>
  <c r="AB168" i="4"/>
  <c r="E58" i="4"/>
  <c r="B57" i="4" s="1"/>
  <c r="H20" i="4"/>
  <c r="J20" i="4" s="1"/>
  <c r="R58" i="4"/>
  <c r="O57" i="4" s="1"/>
  <c r="AE58" i="4"/>
  <c r="AB57" i="4" s="1"/>
  <c r="AR58" i="4"/>
  <c r="AO57" i="4" s="1"/>
  <c r="BE58" i="4"/>
  <c r="BB57" i="4" s="1"/>
  <c r="CN33" i="4"/>
  <c r="CL33" i="4"/>
  <c r="CJ33" i="4"/>
  <c r="CH33" i="4"/>
  <c r="CN32" i="4"/>
  <c r="CL32" i="4"/>
  <c r="CJ32" i="4"/>
  <c r="CH32" i="4"/>
  <c r="CN31" i="4"/>
  <c r="CL31" i="4"/>
  <c r="CJ31" i="4"/>
  <c r="CH31" i="4"/>
  <c r="CP30" i="4"/>
  <c r="CN30" i="4"/>
  <c r="CL30" i="4"/>
  <c r="CJ30" i="4"/>
  <c r="CH30" i="4"/>
  <c r="CP29" i="4"/>
  <c r="CN29" i="4"/>
  <c r="CL29" i="4"/>
  <c r="CJ29" i="4"/>
  <c r="CH29" i="4"/>
  <c r="CP28" i="4"/>
  <c r="CN28" i="4"/>
  <c r="CL28" i="4"/>
  <c r="CJ28" i="4"/>
  <c r="CH28" i="4"/>
  <c r="CP27" i="4"/>
  <c r="CN27" i="4"/>
  <c r="CL27" i="4"/>
  <c r="CJ27" i="4"/>
  <c r="CH27" i="4"/>
  <c r="H73" i="3" l="1"/>
  <c r="H75" i="3"/>
  <c r="C75" i="3"/>
  <c r="C73" i="3"/>
  <c r="K1" i="3"/>
  <c r="L222" i="1" l="1"/>
  <c r="J127" i="1"/>
  <c r="D127" i="1"/>
  <c r="J125" i="1"/>
  <c r="H144" i="1" s="1"/>
  <c r="J123" i="1"/>
  <c r="D130" i="1" s="1"/>
  <c r="D125" i="1"/>
  <c r="D123" i="1"/>
  <c r="J87" i="1"/>
  <c r="D87" i="1"/>
  <c r="J85" i="1"/>
  <c r="D85" i="1"/>
  <c r="D89" i="1"/>
  <c r="D77" i="3"/>
  <c r="E116" i="1"/>
  <c r="H213" i="1"/>
  <c r="O187" i="1"/>
  <c r="H74" i="3"/>
  <c r="H72" i="3"/>
  <c r="H161" i="1" l="1"/>
  <c r="H143" i="1"/>
  <c r="H145" i="1"/>
  <c r="D187" i="1"/>
  <c r="D165" i="1"/>
  <c r="E156" i="1"/>
  <c r="D149" i="1"/>
  <c r="D178" i="1"/>
  <c r="A28" i="1" s="1"/>
  <c r="D201" i="1"/>
  <c r="A29" i="1" s="1"/>
  <c r="D188" i="1"/>
  <c r="D159" i="1"/>
  <c r="A27" i="1" s="1"/>
  <c r="D141" i="1"/>
  <c r="D185" i="1"/>
  <c r="B184" i="1"/>
  <c r="H202" i="1"/>
  <c r="N189" i="1"/>
  <c r="N188" i="1"/>
  <c r="M189" i="1"/>
  <c r="M188" i="1"/>
  <c r="L189" i="1"/>
  <c r="L188" i="1"/>
  <c r="K189" i="1"/>
  <c r="K188" i="1"/>
  <c r="J189" i="1"/>
  <c r="J188" i="1"/>
  <c r="I189" i="1"/>
  <c r="I188" i="1"/>
  <c r="H189" i="1"/>
  <c r="H188" i="1"/>
  <c r="G189" i="1"/>
  <c r="G188" i="1"/>
  <c r="F189" i="1"/>
  <c r="F188" i="1"/>
  <c r="C199" i="1"/>
  <c r="C198" i="1"/>
  <c r="C197" i="1"/>
  <c r="C196" i="1"/>
  <c r="C195" i="1"/>
  <c r="C194" i="1"/>
  <c r="C193" i="1"/>
  <c r="C192" i="1"/>
  <c r="C191" i="1"/>
  <c r="C190" i="1"/>
  <c r="H182" i="1"/>
  <c r="H179" i="1"/>
  <c r="R164" i="1"/>
  <c r="O164" i="1"/>
  <c r="B165" i="1"/>
  <c r="E175" i="1"/>
  <c r="E174" i="1"/>
  <c r="E173" i="1"/>
  <c r="E172" i="1"/>
  <c r="E171" i="1"/>
  <c r="E170" i="1"/>
  <c r="E169" i="1"/>
  <c r="D175" i="1"/>
  <c r="D174" i="1"/>
  <c r="D173" i="1"/>
  <c r="D172" i="1"/>
  <c r="D171" i="1"/>
  <c r="D170" i="1"/>
  <c r="D169" i="1"/>
  <c r="D166" i="1"/>
  <c r="B149" i="1"/>
  <c r="H163" i="1"/>
  <c r="H160" i="1"/>
  <c r="D153" i="1"/>
  <c r="E155" i="1"/>
  <c r="E154" i="1"/>
  <c r="E153" i="1"/>
  <c r="D156" i="1"/>
  <c r="D155" i="1"/>
  <c r="D154" i="1"/>
  <c r="D150" i="1"/>
  <c r="R148" i="1"/>
  <c r="O148" i="1"/>
  <c r="H146" i="1"/>
  <c r="H142" i="1"/>
  <c r="D137" i="1"/>
  <c r="C56" i="3"/>
  <c r="D112" i="1" s="1"/>
  <c r="C55" i="3"/>
  <c r="H180" i="1" l="1"/>
  <c r="H162" i="1"/>
  <c r="A26" i="1"/>
  <c r="H70" i="3"/>
  <c r="H65" i="3"/>
  <c r="H64" i="3"/>
  <c r="H63" i="3"/>
  <c r="H62" i="3"/>
  <c r="H226" i="1" l="1"/>
  <c r="H203" i="1"/>
  <c r="H284" i="1"/>
  <c r="H285" i="1"/>
  <c r="D53" i="1"/>
  <c r="D56" i="1"/>
  <c r="D55" i="1"/>
  <c r="D54" i="1"/>
  <c r="H65" i="1"/>
  <c r="E45" i="1"/>
  <c r="H293" i="1" l="1"/>
  <c r="H292" i="1"/>
  <c r="H291" i="1"/>
  <c r="H290" i="1"/>
  <c r="H289" i="1"/>
  <c r="H288" i="1"/>
  <c r="H287" i="1"/>
  <c r="H286" i="1"/>
  <c r="H181" i="1"/>
  <c r="H212" i="1"/>
  <c r="H211" i="1"/>
  <c r="H210" i="1"/>
  <c r="H208" i="1"/>
  <c r="H207" i="1"/>
  <c r="H206" i="1"/>
  <c r="H205" i="1"/>
  <c r="H209" i="1"/>
  <c r="H204" i="1"/>
  <c r="C134" i="1"/>
  <c r="C143" i="1"/>
  <c r="D94" i="1"/>
  <c r="D93" i="1"/>
  <c r="D105" i="1"/>
  <c r="D104" i="1"/>
  <c r="D102" i="1"/>
  <c r="D103" i="1"/>
  <c r="D101" i="1"/>
  <c r="D100" i="1"/>
  <c r="D99" i="1"/>
  <c r="D98" i="1"/>
  <c r="D97" i="1"/>
  <c r="D96" i="1"/>
  <c r="D95" i="1"/>
  <c r="L91" i="1"/>
  <c r="G91" i="1"/>
  <c r="D92" i="1"/>
  <c r="D91" i="1"/>
  <c r="K84" i="1"/>
  <c r="H294" i="1"/>
  <c r="F273" i="1"/>
  <c r="M259" i="1"/>
  <c r="H247" i="1"/>
  <c r="K240" i="1"/>
  <c r="H273" i="1" l="1"/>
  <c r="C180" i="1" l="1"/>
  <c r="B2" i="1"/>
  <c r="C58" i="3" l="1"/>
  <c r="H42" i="3"/>
  <c r="G46" i="3"/>
  <c r="E46" i="3"/>
  <c r="C46" i="3"/>
  <c r="C42" i="3"/>
  <c r="C44" i="3"/>
  <c r="H40" i="3" l="1"/>
  <c r="C40" i="3"/>
  <c r="C59" i="3"/>
  <c r="H69" i="3"/>
  <c r="H68" i="3"/>
  <c r="H67" i="3"/>
  <c r="G27" i="3" l="1"/>
  <c r="E27" i="3"/>
  <c r="C27" i="3"/>
  <c r="C25" i="3"/>
  <c r="H1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wwg</author>
  </authors>
  <commentList>
    <comment ref="B26" authorId="0" shapeId="0" xr:uid="{097964CF-A970-4D3B-9E3A-E4FAF701355F}">
      <text>
        <r>
          <rPr>
            <b/>
            <sz val="8"/>
            <color indexed="81"/>
            <rFont val="Tahoma"/>
            <family val="2"/>
          </rPr>
          <t>The red triangle in the upper right corner signifies a comment.  It is revealed when the cursor is placed over the cell.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Lisa Collard</author>
  </authors>
  <commentList>
    <comment ref="C9" authorId="0" shapeId="0" xr:uid="{E49384D9-CFBA-45DB-9F0E-56F61B26BDA4}">
      <text>
        <r>
          <rPr>
            <sz val="9"/>
            <color indexed="81"/>
            <rFont val="Tahoma"/>
            <family val="2"/>
          </rPr>
          <t xml:space="preserve">
CAAHEP Standard I.A.1. describes the requirements for a post-secondary academic institution program sponsor. The program sponsor is the postsecondary academic institution accredited by a U.S. Department of Education recognized institutional accrediting agency and authorized to provide the post-secondary program.</t>
        </r>
        <r>
          <rPr>
            <sz val="9"/>
            <color indexed="81"/>
            <rFont val="Tahoma"/>
            <family val="2"/>
          </rPr>
          <t xml:space="preserve">
CAAHEP Standard I.A.2. describes the requirements for a post-secondary academic institution program sponsor outside the United States. The program sponsor is the post-secondary academic institution authorized by law or acceptable authority to provide the post-secondary program.  Note: Per CAAHEP Policies &amp; Procedures, Policy 211, before a program outside the United States is eligible for initial and continuing accreditation review, the program sponsor must have an approved CAAHEP International Eligibility Review Application.
CAAHEP Standard I.A.3. describes the requirements for a hospital/clinic/medical center program sponsor.  The program sponsor listed is the hospital/clinic/medical center accredited by a U.S. Department of Health and Human Services (DHHS) recognized healthcare accrediting agency and may include the approved facility as listed by the healthcare accrediting agency.
CAAHEP Standard I.A.4. describes the requirements for a military or federal/state governmental agency program sponsor. The sponsor must apply as I.A.1., post-secondary academic institution and require authorization under state law by a designated state agency.
CAAHEP Standard I.A.5. describes the requirements for a consortium program sponsor. The consortium must include at least one partner that meets the requirements of a program sponsor set forth in Standard I.A.1-4. The consortium name listed is the official consortium name created in the writen agreement and is the program sponsor name in the CAAHEP record. Consortium partners should be included in the sponsor’s name or identified in a tagline displayed with the name and require authorization under state law by a designated state agency. </t>
        </r>
      </text>
    </comment>
    <comment ref="C38" authorId="0" shapeId="0" xr:uid="{26CA740C-005F-4294-8F93-FE9A7870A509}">
      <text>
        <r>
          <rPr>
            <sz val="9"/>
            <color indexed="81"/>
            <rFont val="Tahoma"/>
            <family val="2"/>
          </rPr>
          <t xml:space="preserve">
Link to AEMT program webpage</t>
        </r>
      </text>
    </comment>
    <comment ref="C51" authorId="0" shapeId="0" xr:uid="{9ED4D1A0-8524-44F3-8B56-014C16F04C3A}">
      <text>
        <r>
          <rPr>
            <sz val="9"/>
            <color indexed="81"/>
            <rFont val="Tahoma"/>
            <family val="2"/>
          </rPr>
          <t xml:space="preserve">
There must either be a current pathway for graduates to obtain college credit upon completion of the program or a current formal agreement with an accredited college that includes the number of college credits granted to the student in recognition of completion of the program.
This agreement allows students to receive college credit if they enroll at the educational institution; it does not require that students who do not register receive college credit.</t>
        </r>
      </text>
    </comment>
    <comment ref="C52" authorId="0" shapeId="0" xr:uid="{0AE8EFFC-70F7-4B45-8DB5-AF4BA5C34D93}">
      <text>
        <r>
          <rPr>
            <sz val="9"/>
            <color indexed="81"/>
            <rFont val="Tahoma"/>
            <family val="2"/>
          </rPr>
          <t xml:space="preserve">
There must either be a current pathway for graduates to obtain college credit upon completion of the AEMT program or a current formal agreement with an accredited college that includes the number of college credits granted to the student in recognition of completion of the AEMT program.
This agreement allows students to receive college credit if they enroll at the educational institution; it does not require that students who do not register receive college credit.</t>
        </r>
      </text>
    </comment>
    <comment ref="C56" authorId="0" shapeId="0" xr:uid="{283C1558-1AE1-4A42-BF53-3949C90AE06C}">
      <text>
        <r>
          <rPr>
            <b/>
            <sz val="9"/>
            <color indexed="81"/>
            <rFont val="Tahoma"/>
            <family val="2"/>
          </rPr>
          <t xml:space="preserve">
On-time Graduation: 
</t>
        </r>
        <r>
          <rPr>
            <sz val="9"/>
            <color indexed="81"/>
            <rFont val="Tahoma"/>
            <family val="2"/>
          </rPr>
          <t xml:space="preserve">date on which students complete all the required courses of the program (i.e., all didactic, laboratory, clinical, and field experience, and capstone field internship) in the normal allotted time in the sequence published by the program.
</t>
        </r>
      </text>
    </comment>
    <comment ref="C66" authorId="0" shapeId="0" xr:uid="{D42832F9-227F-409D-9612-8740DAB92258}">
      <text>
        <r>
          <rPr>
            <sz val="9"/>
            <color indexed="81"/>
            <rFont val="Tahoma"/>
            <family val="2"/>
          </rPr>
          <t xml:space="preserve">
</t>
        </r>
        <r>
          <rPr>
            <b/>
            <sz val="9"/>
            <color indexed="81"/>
            <rFont val="Tahoma"/>
            <family val="2"/>
          </rPr>
          <t xml:space="preserve">
CAAHEP Policy 2.09</t>
        </r>
        <r>
          <rPr>
            <sz val="9"/>
            <color indexed="81"/>
            <rFont val="Tahoma"/>
            <family val="2"/>
          </rPr>
          <t xml:space="preserve">
</t>
        </r>
        <r>
          <rPr>
            <b/>
            <sz val="9"/>
            <color indexed="81"/>
            <rFont val="Tahoma"/>
            <family val="2"/>
          </rPr>
          <t xml:space="preserve">Full Onsite (In-Person) Delivery: </t>
        </r>
        <r>
          <rPr>
            <sz val="9"/>
            <color indexed="81"/>
            <rFont val="Tahoma"/>
            <family val="2"/>
          </rPr>
          <t>method of delivery in which all didactic and laboratory instruction is provided at an approved location (on or off campus), where instructors and students interact simultaneously in the same physical location.</t>
        </r>
        <r>
          <rPr>
            <b/>
            <sz val="9"/>
            <color indexed="81"/>
            <rFont val="Tahoma"/>
            <family val="2"/>
          </rPr>
          <t xml:space="preserve">
Full Distance Education Delivery:</t>
        </r>
        <r>
          <rPr>
            <sz val="9"/>
            <color indexed="81"/>
            <rFont val="Tahoma"/>
            <family val="2"/>
          </rPr>
          <t xml:space="preserve"> method of delivery in which all didactic and laboratory instruction is provided through distance education, meaning that the instructor and student are physically separated and using technology to interact. Instruction may be synchronous or asynchronous.</t>
        </r>
        <r>
          <rPr>
            <b/>
            <sz val="9"/>
            <color indexed="81"/>
            <rFont val="Tahoma"/>
            <family val="2"/>
          </rPr>
          <t xml:space="preserve">
Blended (or Hybrid) Distance Education Delivery: </t>
        </r>
        <r>
          <rPr>
            <sz val="9"/>
            <color indexed="81"/>
            <rFont val="Tahoma"/>
            <family val="2"/>
          </rPr>
          <t>method of delivery in which all didactic and laboratory instruction is provided using a combination of onsite (in-person) and distance education instruction, which may be synchronous or asynchronous.</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Lisa Collard</author>
    <author>chez0</author>
    <author>wwg</author>
  </authors>
  <commentList>
    <comment ref="B9" authorId="0" shapeId="0" xr:uid="{08656A66-F2EF-4AE5-8D95-A15879F98A18}">
      <text>
        <r>
          <rPr>
            <b/>
            <sz val="9"/>
            <color indexed="81"/>
            <rFont val="Tahoma"/>
            <family val="2"/>
          </rPr>
          <t xml:space="preserve">
Standard I.A. Sponsoring Institution  
A program sponsor must be at least one of the following
1. A post-secondary academic institution accredited by an institutional accrediting agency that is recognized by the U.S. Department of Education and must be authorized under applicable law or other acceptable authority to provide a post-secondary program, which awards a minimum of a certificate at the completion of the program.
2. A post-secondary academic institution outside of the United States and its territories that is authorized under applicable law or other acceptable authority to provide a postsecondary program, which awards a minimum of a certificate or equivalent at the completion of the academic program.
3. A hospital, clinic or medical center accredited by a healthcare accrediting agency or equivalent that is recognized by the U.S. Department of Health and Human Services and authorized under applicable law to provide healthcare and authorized under applicable law to provide the post-secondary program, which awards a minimum of a certificate at the completion of the program.
4. A branch of the United States Armed Forces or a federal, state, or local governmental or municipal agency which awards a minimum of a certificate at the completion of the program.
5. A consortium, which is a group made up of two or more members that operate an educational program through a written agreement that outlines the expectations and responsibilities of each of the partners. At least one of the consortium partners must meet the requirements of a program sponsor set forth in I.A.1.- I.A.4.
a. The consortium governing board must meet at least annually.
Consortium does not refer to clinical affiliation agreements with the program sponsor.
</t>
        </r>
        <r>
          <rPr>
            <i/>
            <sz val="9"/>
            <color indexed="81"/>
            <rFont val="Tahoma"/>
            <family val="2"/>
          </rPr>
          <t>For a distance education program, the location of program is the mailing address of the sponsor.</t>
        </r>
        <r>
          <rPr>
            <sz val="9"/>
            <color indexed="81"/>
            <rFont val="Tahoma"/>
            <family val="2"/>
          </rPr>
          <t xml:space="preserve">
</t>
        </r>
      </text>
    </comment>
    <comment ref="I12" authorId="0" shapeId="0" xr:uid="{E8F5430B-E2BF-4A34-82C9-D00F6C15A148}">
      <text>
        <r>
          <rPr>
            <b/>
            <sz val="9"/>
            <color indexed="81"/>
            <rFont val="Tahoma"/>
            <family val="2"/>
          </rPr>
          <t xml:space="preserve">Institutional Accreditor Examples: </t>
        </r>
        <r>
          <rPr>
            <sz val="9"/>
            <color indexed="81"/>
            <rFont val="Tahoma"/>
            <family val="2"/>
          </rPr>
          <t xml:space="preserve">
</t>
        </r>
        <r>
          <rPr>
            <b/>
            <sz val="9"/>
            <color indexed="81"/>
            <rFont val="Tahoma"/>
            <family val="2"/>
          </rPr>
          <t>Standard I.A.1 Sponsorship</t>
        </r>
        <r>
          <rPr>
            <sz val="9"/>
            <color indexed="81"/>
            <rFont val="Tahoma"/>
            <family val="2"/>
          </rPr>
          <t xml:space="preserve"> (i.e., ACAOM, ABHES, ACCJC, ACCSC, ACICS, ACGME, CAAS, COE, HLC, MSCHE, NEASC, NWCCU, SACS, WASC)
</t>
        </r>
        <r>
          <rPr>
            <b/>
            <sz val="9"/>
            <color indexed="81"/>
            <rFont val="Tahoma"/>
            <family val="2"/>
          </rPr>
          <t xml:space="preserve">
Standard I.A.3 Sponsorship</t>
        </r>
        <r>
          <rPr>
            <sz val="9"/>
            <color indexed="81"/>
            <rFont val="Tahoma"/>
            <family val="2"/>
          </rPr>
          <t xml:space="preserve"> (i.e., The Joint Commission, DNV Healthcare Inc., HFAP)
</t>
        </r>
      </text>
    </comment>
    <comment ref="B13" authorId="0" shapeId="0" xr:uid="{DF022923-53F7-4F8D-9A63-647310432326}">
      <text>
        <r>
          <rPr>
            <b/>
            <sz val="9"/>
            <color indexed="81"/>
            <rFont val="Tahoma"/>
            <family val="2"/>
          </rPr>
          <t xml:space="preserve">
Standard I.B. Responsibilities of Program Sponsor  
The program sponsor must
1. Ensure that the program meets the Standards; 
2. Award academic credit for the program or have an articulation agreement with an accredited post-secondary institution; and, 
3. Have a preparedness plan in place that assures continuity of education services in the event of an unanticipated interruption.
</t>
        </r>
        <r>
          <rPr>
            <i/>
            <sz val="9"/>
            <color indexed="81"/>
            <rFont val="Tahoma"/>
            <family val="2"/>
          </rPr>
          <t>Examples of unanticipated interruptions may include unexpected departure of key personnel, natural disaster, public health crisis, fire, flood, power failure, failure of information technology services, or other events that may lead to inaccessibility of educational services.</t>
        </r>
        <r>
          <rPr>
            <b/>
            <sz val="9"/>
            <color indexed="81"/>
            <rFont val="Tahoma"/>
            <family val="2"/>
          </rPr>
          <t xml:space="preserve"> 
</t>
        </r>
        <r>
          <rPr>
            <sz val="9"/>
            <color indexed="81"/>
            <rFont val="Tahoma"/>
            <family val="2"/>
          </rPr>
          <t xml:space="preserve">
</t>
        </r>
      </text>
    </comment>
    <comment ref="D27" authorId="0" shapeId="0" xr:uid="{0666B8E4-70DD-4A7E-9F46-5D3ECB7766F0}">
      <text>
        <r>
          <rPr>
            <b/>
            <sz val="9"/>
            <color indexed="81"/>
            <rFont val="Tahoma"/>
            <family val="2"/>
          </rPr>
          <t xml:space="preserve">
Consortium Agreement:
</t>
        </r>
        <r>
          <rPr>
            <sz val="9"/>
            <color indexed="81"/>
            <rFont val="Tahoma"/>
            <family val="2"/>
          </rPr>
          <t xml:space="preserve">An agreement, contract, or memorandum of understanding between two (2) or more entities that exist for the purpose of operating an education program. The members of the consortium set up a separate governing body to establish and run an educational program. The governance, lines of authority, roles of each partner must be established in the agreement, and have an organizational chart.
</t>
        </r>
      </text>
    </comment>
    <comment ref="D45" authorId="0" shapeId="0" xr:uid="{4CFE0FD0-08E6-44B7-A162-7B99A4D920F6}">
      <text>
        <r>
          <rPr>
            <b/>
            <sz val="9"/>
            <color indexed="81"/>
            <rFont val="Tahoma"/>
            <family val="2"/>
          </rPr>
          <t xml:space="preserve">Articulation Agreement:
</t>
        </r>
        <r>
          <rPr>
            <sz val="9"/>
            <color indexed="81"/>
            <rFont val="Tahoma"/>
            <family val="2"/>
          </rPr>
          <t>An articulation agreement is an agreement between an educational institution and a training facility to provide college credit to individuals completing the training program. This agreement allows students to receive college credit if they enroll at the educational institution; it does not require that students who do not register receive college credit. 
The articulation agreement may be composed as a memorandum of understanding, transfer agreement, or other suitable instrument, as long as the requirements of articulation are met.</t>
        </r>
      </text>
    </comment>
    <comment ref="B52" authorId="0" shapeId="0" xr:uid="{789ECDF1-6A0A-4DB3-9924-E7E0CFB5F618}">
      <text>
        <r>
          <rPr>
            <b/>
            <sz val="9"/>
            <color indexed="81"/>
            <rFont val="Tahoma"/>
            <family val="2"/>
          </rPr>
          <t xml:space="preserve">
Standard I.B. Responsibilities of Program Sponsor  
The program sponsor must
1. Ensure that the program meets the Standards; 
2. Award academic credit for the program or have an articulation agreement with an accredited post-secondary institution; and, 
3. Have a preparedness plan in place that assures continuity of education services in the event of an unanticipated interruption.
</t>
        </r>
        <r>
          <rPr>
            <i/>
            <sz val="9"/>
            <color indexed="81"/>
            <rFont val="Tahoma"/>
            <family val="2"/>
          </rPr>
          <t>Examples of unanticipated interruptions may include unexpected departure of key personnel, natural disaster, public health crisis, fire, flood, power failure, failure of information technology services, or other events that may lead to inaccessibility of educational services.</t>
        </r>
        <r>
          <rPr>
            <b/>
            <sz val="9"/>
            <color indexed="81"/>
            <rFont val="Tahoma"/>
            <family val="2"/>
          </rPr>
          <t xml:space="preserve"> </t>
        </r>
      </text>
    </comment>
    <comment ref="B73" authorId="0" shapeId="0" xr:uid="{596E432E-953C-404A-803D-3096924F17CA}">
      <text>
        <r>
          <rPr>
            <b/>
            <sz val="9"/>
            <color indexed="81"/>
            <rFont val="Tahoma"/>
            <family val="2"/>
          </rPr>
          <t xml:space="preserve">
Standard II.A. Program Goals and Minimum Expectations
The program must have at least one of the following minimum expectations statements for the following program(s) it offers
• Paramedic: “To prepare Paramedics who are competent in the cognitive (knowledge), psychomotor (skills), and affective (behavior) learning domains to enter the profession.” 
• Advanced Emergency Medical Technician: “To prepare Advanced Emergency Medical Technicians who are competent in the cognitive (knowledge), psychomotor (skills), and affective (behavior) learning domains to enter the profession.”
Programs that adopt educational goals beyond the minimum expectations statement must provide evidence that all students have achieved those goals prior to entry into the field.
Program goals must be compatible with the mission of the sponsoring institution(s), the expectations of the communities of interest, and accepted standards of roles and functions of an emergency medical services professional. Goals are based upon the substantiated needs of health care providers and employers, and the educational needs of the students served by the educational program. Program goals must be written referencing one or more of the learning domains.
The program must assess its goals at least annually and respond to changes in the needs and expectations of its communities of interest.
</t>
        </r>
        <r>
          <rPr>
            <sz val="9"/>
            <color indexed="81"/>
            <rFont val="Tahoma"/>
            <family val="2"/>
          </rPr>
          <t>In this Standard, “field” refers to the profession.</t>
        </r>
      </text>
    </comment>
    <comment ref="B90" authorId="0" shapeId="0" xr:uid="{2325F14C-AB59-4763-828E-96F882003AAD}">
      <text>
        <r>
          <rPr>
            <b/>
            <sz val="9"/>
            <color indexed="81"/>
            <rFont val="Tahoma"/>
            <family val="2"/>
          </rPr>
          <t xml:space="preserve">
Standard II.B. Program Advisory Committeee
The program advisory committee must include at least one representative of each community of interest and must meet annually. Communities of interest served by the program include, but are not limited to, students, graduates, faculty members, sponsor administrators, employers, physicians, clinical and capstone field internship representatives, and the public. 
The program advisory committee advises the program regarding revisions to curriculum and program goals based on the changing needs and expectations of the program’s communities of interest, and an assessment of program effectiveness, including the outcomes specified in these Standards.
</t>
        </r>
        <r>
          <rPr>
            <i/>
            <sz val="9"/>
            <color indexed="81"/>
            <rFont val="Tahoma"/>
            <family val="2"/>
          </rPr>
          <t>It is recommended that the chair of the advisory committee be from one of the following groups: graduates, employers, physicians, clinical and field internship representatives, or public. 
Program advisory committee meetings may be conducted using synchronous electronic means.</t>
        </r>
        <r>
          <rPr>
            <b/>
            <sz val="9"/>
            <color indexed="81"/>
            <rFont val="Tahoma"/>
            <family val="2"/>
          </rPr>
          <t xml:space="preserve">
The program advisory committee minutes must document support of the program required minimum numbers of patient contacts.</t>
        </r>
      </text>
    </comment>
    <comment ref="D90" authorId="1" shapeId="0" xr:uid="{B97185E3-0101-42FC-95AB-C65AE705F583}">
      <text>
        <r>
          <rPr>
            <b/>
            <sz val="9"/>
            <color indexed="81"/>
            <rFont val="Tahoma"/>
            <family val="2"/>
          </rPr>
          <t xml:space="preserve">Advisory Committee
</t>
        </r>
        <r>
          <rPr>
            <sz val="9"/>
            <color indexed="81"/>
            <rFont val="Tahoma"/>
            <family val="2"/>
          </rPr>
          <t xml:space="preserve">The Advisory Committee meets at least annually and has the charge of advising the program and its sponsor develop and review goals and learning domains and oversee needs and expectations. 
The Advisory Committee is comprised of the Paramedic program’s communities of interest, as well as the Program Director and the Medical Director. Those communities of interest include the following: 
 Students – A currently enrolled student who is progressing through the Paramedic program. 
 Graduate – A graduate of the program.
 Faculty –   One (1) representative from the Paramedic faculty 
 Sponsor administration – One (1) member of the sponsor’s administration
 Hospital/Clinic representatives –
 Employers – Individuals who hire and supervise graduates of the Paramedic program. 
 Physicians – Individuals who interact with the EMS system (may be filled by the Medical Director).
 Public – represents the interests of the patient and quality of care delivered. 
Since it is frequently difficult to get a busy group of people together, a program may use synchronous technology such as conference calls, live web meetings, or other electronic means to ensure it has full participation from its representatives. Meeting minutes must document the method of the meeting; the substance of the meeting, including the review of all minimum competency requirements, achievement of program goals, analysis of the goals, action plan, and results of action where appropriate and review of the annual report and other objective data that supports program evaluation; as well as the list of the representatives of the communities of interest indicating present or absent at each meeting.
</t>
        </r>
      </text>
    </comment>
    <comment ref="G91" authorId="1" shapeId="0" xr:uid="{94D770D1-01EA-4340-B7DB-A75AE6393340}">
      <text>
        <r>
          <rPr>
            <sz val="9"/>
            <color indexed="81"/>
            <rFont val="Tahoma"/>
            <family val="2"/>
          </rPr>
          <t xml:space="preserve">
To list more than one member on the same line, place your cursor at the end of the first entry and select Alt + Enter.
</t>
        </r>
      </text>
    </comment>
    <comment ref="D100" authorId="0" shapeId="0" xr:uid="{708F58C4-1717-4790-876B-F5D606F80ADD}">
      <text>
        <r>
          <rPr>
            <b/>
            <sz val="9"/>
            <color indexed="81"/>
            <rFont val="Tahoma"/>
            <family val="2"/>
          </rPr>
          <t xml:space="preserve">Public Member or potential consumer
</t>
        </r>
        <r>
          <rPr>
            <sz val="9"/>
            <color indexed="81"/>
            <rFont val="Tahoma"/>
            <family val="2"/>
          </rPr>
          <t>A public member represents consumers of the EMS System. The individual has a vested interest in the proper education of AEMTs/Paramedics for quality patient care. The public member should not be: 
 A current or former employee of the program’s sponsor 
 A current or former employee of any clinical affiliate or field internship site associated with the
   AEMT?Paramedic program 
 A current or former student of the AEMT/Paramedic program 
 An employee, member of the governing board, owner, shareholder, or consultant of an EMS
   education program 
 A member or representative of the EMS profession, any trade association or membership
   organization related to, affiliated with, or associated with the field of pre-hospital care
 An immediate family member of an individual affiliated with the AEMT/Paramedic program
Recommended public members include individuals who have a passion for the quality of EMS patient care such as former patients or family members of patients.</t>
        </r>
        <r>
          <rPr>
            <b/>
            <sz val="9"/>
            <color indexed="81"/>
            <rFont val="Tahoma"/>
            <family val="2"/>
          </rPr>
          <t xml:space="preserve">
</t>
        </r>
        <r>
          <rPr>
            <sz val="9"/>
            <color indexed="81"/>
            <rFont val="Tahoma"/>
            <family val="2"/>
          </rPr>
          <t xml:space="preserve">
</t>
        </r>
      </text>
    </comment>
    <comment ref="B114" authorId="0" shapeId="0" xr:uid="{790612BF-D1C3-4096-BA63-9B4936A75FCC}">
      <text>
        <r>
          <rPr>
            <b/>
            <sz val="9"/>
            <color indexed="81"/>
            <rFont val="Tahoma"/>
            <family val="2"/>
          </rPr>
          <t xml:space="preserve">
III.A.1. Resources – Type and Amount
Program resources must be sufficient to ensure the achievement of the program’s goals and outcomes.  Resources must include, but are not limited to: 
a. Faculty;
b. Administrative and support staff;
c. Curriculum;
d. Finances;
e. Faculty and staff workspace;
f. Space for confidential interactions;
g. Classroom and laboratory (physical or virtual);
h. Ancillary student facilities;
i. Clinical affiliates;
j. Field experience and capstone field internship affiliates;
k. Equipment;
l. Supplies;
m. Information technology;
n. Instructional materials; and
o. Support for faculty professional development.
</t>
        </r>
        <r>
          <rPr>
            <sz val="9"/>
            <color indexed="81"/>
            <rFont val="Tahoma"/>
            <family val="2"/>
          </rPr>
          <t xml:space="preserve">
</t>
        </r>
      </text>
    </comment>
    <comment ref="D115" authorId="0" shapeId="0" xr:uid="{5A5E45D3-42AA-439D-BC4D-675004BE505B}">
      <text>
        <r>
          <rPr>
            <b/>
            <sz val="9"/>
            <color indexed="81"/>
            <rFont val="Tahoma"/>
            <family val="2"/>
          </rPr>
          <t xml:space="preserve">
Results of resource assessment must be analyzed and are the basis for ongoing planning and appropriate change. An action plan must be developed when deficiencies are identified in the program resources. Implementation of the action plan must be documented, and results measured by ongoing resource assessment.</t>
        </r>
        <r>
          <rPr>
            <sz val="9"/>
            <color indexed="81"/>
            <rFont val="Tahoma"/>
            <family val="2"/>
          </rPr>
          <t xml:space="preserve">
</t>
        </r>
      </text>
    </comment>
    <comment ref="B116" authorId="0" shapeId="0" xr:uid="{30F54346-5205-415F-8357-A585C7E6C40E}">
      <text>
        <r>
          <rPr>
            <b/>
            <sz val="9"/>
            <color indexed="81"/>
            <rFont val="Tahoma"/>
            <family val="2"/>
          </rPr>
          <t xml:space="preserve">
Standard III.A.2 - Clinical, Field Experience, &amp; Capstone Field Internship Affiliations</t>
        </r>
        <r>
          <rPr>
            <sz val="9"/>
            <color indexed="81"/>
            <rFont val="Tahoma"/>
            <family val="2"/>
          </rPr>
          <t xml:space="preserve">
For all affiliations, students must have access to adequate numbers of patients, proportionally distributed by age-range, chief complaint, and interventions in the delivery of emergency care appropriate to the level of the Emergency Medical Services Profession(s) for which training is being offered.
The clinical/field experience and capstone field internship resources must ensure exposure to, and assessment and management of the following patients and conditions: adult trauma and medical emergencies; pediatric trauma and medical emergencies including assessment and management; and geriatric trauma and medical emergencies.
</t>
        </r>
      </text>
    </comment>
    <comment ref="B119" authorId="0" shapeId="0" xr:uid="{85746841-B22A-4D53-8029-3BA8728ECB64}">
      <text>
        <r>
          <rPr>
            <b/>
            <sz val="9"/>
            <color indexed="81"/>
            <rFont val="Tahoma"/>
            <family val="2"/>
          </rPr>
          <t xml:space="preserve">
Standard III.D. Resource Assessment
The program must, at least annually, assess the appropriateness and effectiveness of the resources described in these Standards. The results of the resource assessment must be the basis for ongoing planning and change. An action plan must be developed when needed improvements are identified in the program resources. Implementation of the action plan must be documented, and results measured by ongoing resource assessment.
</t>
        </r>
        <r>
          <rPr>
            <sz val="9"/>
            <color indexed="81"/>
            <rFont val="Tahoma"/>
            <family val="2"/>
          </rPr>
          <t xml:space="preserve">
</t>
        </r>
      </text>
    </comment>
    <comment ref="B149" authorId="0" shapeId="0" xr:uid="{15469F92-5598-4F32-A3E6-C834B9CEAF01}">
      <text>
        <r>
          <rPr>
            <b/>
            <sz val="9"/>
            <color indexed="81"/>
            <rFont val="Tahoma"/>
            <family val="2"/>
          </rPr>
          <t xml:space="preserve">
Standard III.B.1.a Personnel - Program Director Responsibilities 
The program director must be responsible for all aspects of the program, including, but not limited to
1) Administration, organization, and supervision of the program,
2) Continuous quality review and improvement of the educational program;
3) Academic oversight, including curriculum planning and development; and
4) Orientation/training and supervision of clinical and capstone field internship preceptors.</t>
        </r>
        <r>
          <rPr>
            <sz val="9"/>
            <color indexed="81"/>
            <rFont val="Tahoma"/>
            <family val="2"/>
          </rPr>
          <t xml:space="preserve">
</t>
        </r>
        <r>
          <rPr>
            <i/>
            <sz val="9"/>
            <color indexed="81"/>
            <rFont val="Tahoma"/>
            <family val="2"/>
          </rPr>
          <t xml:space="preserve">
It is recommended that the program director have a minimum of a Master’s degree.
It is recommended that the program director’s degree be in a health-related profession, EMS, or education.
It is recommended that the program director is a full-time position.</t>
        </r>
        <r>
          <rPr>
            <sz val="9"/>
            <color indexed="81"/>
            <rFont val="Tahoma"/>
            <family val="2"/>
          </rPr>
          <t xml:space="preserve">
</t>
        </r>
      </text>
    </comment>
    <comment ref="B165" authorId="0" shapeId="0" xr:uid="{68182BB7-8572-402B-AC2D-D715F9E88352}">
      <text>
        <r>
          <rPr>
            <b/>
            <sz val="9"/>
            <color indexed="81"/>
            <rFont val="Tahoma"/>
            <family val="2"/>
          </rPr>
          <t xml:space="preserve">
Standard III.B.2.a Personnel - Medical Director Responsibilities 
The medical director must be responsible for medical oversight of the program, including but not limited to 
1) Review and approve the educational content of the program to include didactic, laboratory, clinical experience, field experience, and capstone field to ensure it meets current standards of medical practice; 
2) Review and approve the required minimum numbers for each of the required patient contacts and procedures listed in these Standards;
3) Review and approve the instruments and processes used to evaluate students in didactic, laboratory, clinical, field experience, and capstone field internship;
4) Review the progress of each student throughout the program, and assist in the determination of appropriate corrective measures;
It is recommended that corrective measures occur in the cases of failing academic or clinical or field internship performance.
5) Ensure the competence of each graduate of the program in the cognitive, psychomotor, and affective domains;
6) Engage in cooperative involvement with the program director; and
7) Ensure the effectiveness and quality of any Medical Director responsibilities delegated to an Associate or Assistant Medical Director.
</t>
        </r>
        <r>
          <rPr>
            <i/>
            <sz val="9"/>
            <color indexed="81"/>
            <rFont val="Tahoma"/>
            <family val="2"/>
          </rPr>
          <t xml:space="preserve">
It is recommended that the Medical Director interaction be in a variety of settings, such as lecture, laboratory, clinical, capstone field internship. Interaction may be by synchronous electronic methods.</t>
        </r>
      </text>
    </comment>
    <comment ref="B184" authorId="0" shapeId="0" xr:uid="{731FC105-C615-4EE8-B21C-7D2FC4234D40}">
      <text>
        <r>
          <rPr>
            <sz val="9"/>
            <color indexed="81"/>
            <rFont val="Tahoma"/>
            <family val="2"/>
          </rPr>
          <t xml:space="preserve">
</t>
        </r>
        <r>
          <rPr>
            <b/>
            <sz val="9"/>
            <color indexed="81"/>
            <rFont val="Tahoma"/>
            <family val="2"/>
          </rPr>
          <t xml:space="preserve">Standard III.B.5.a Personnel - Faculty/Instructional Staff Responsibilities 
For all didactic, laboratory, and clinical instruction to which a student is assigned, there must be qualified individual(s) clearly designated by the program to provide instruction, supervision, and timely assessments of the student’s progress in meeting program requirements.
</t>
        </r>
        <r>
          <rPr>
            <i/>
            <sz val="9"/>
            <color indexed="81"/>
            <rFont val="Tahoma"/>
            <family val="2"/>
          </rPr>
          <t xml:space="preserve">
 It is recommended a faculty member assists in teaching and/or clinical coordination in addition to the program director. </t>
        </r>
        <r>
          <rPr>
            <b/>
            <sz val="9"/>
            <color indexed="81"/>
            <rFont val="Tahoma"/>
            <family val="2"/>
          </rPr>
          <t xml:space="preserve"> </t>
        </r>
      </text>
    </comment>
    <comment ref="B219" authorId="0" shapeId="0" xr:uid="{061AE2FA-C403-4D36-8C8D-C56900630F40}">
      <text>
        <r>
          <rPr>
            <b/>
            <sz val="9"/>
            <color indexed="81"/>
            <rFont val="Tahoma"/>
            <family val="2"/>
          </rPr>
          <t xml:space="preserve">
Standard III.C. Curriculum
The curriculum content must ensure that the program goals are achieved.
1. Instruction must be based on clearly written course syllabi that include course description, course objectives, methods of evaluation, topic outline, and competencies required for graduation/program completion.
2. Instruction must be delivered in an appropriate sequence of classroom, laboratory, clinical and field activities. 
3. The program must demonstrate that the curriculum offered meets or exceeds the content and competency of the latest edition of the National EMS Education Standards listed in Appendix B of these Standards.
4. The program must set and require minimum student competencies for each of the required patients and conditions listed in these Standards, and at least annually evaluate and document that the established program minimums are adequate to achieve entry-level competency.
5. The capstone field internship must provide the student with an opportunity to serve as team leader in a variety of prehospital advanced life support emergency medical situations.
</t>
        </r>
        <r>
          <rPr>
            <sz val="9"/>
            <color indexed="81"/>
            <rFont val="Tahoma"/>
            <family val="2"/>
          </rPr>
          <t xml:space="preserve">
</t>
        </r>
        <r>
          <rPr>
            <i/>
            <sz val="9"/>
            <color indexed="81"/>
            <rFont val="Tahoma"/>
            <family val="2"/>
          </rPr>
          <t>It is recommended that programs establish an on-time graduation date for each cohort and a maximum amount of time to complete all components of the education program.
CAAHEP supports and encourages innovation in the development and delivery of the curriculum.</t>
        </r>
        <r>
          <rPr>
            <sz val="9"/>
            <color indexed="81"/>
            <rFont val="Tahoma"/>
            <family val="2"/>
          </rPr>
          <t xml:space="preserve">
</t>
        </r>
      </text>
    </comment>
    <comment ref="J239" authorId="2" shapeId="0" xr:uid="{A4AC8064-C811-4597-94EB-05D6D5C11F3C}">
      <text>
        <r>
          <rPr>
            <b/>
            <sz val="9"/>
            <color indexed="81"/>
            <rFont val="Tahoma"/>
            <family val="2"/>
          </rPr>
          <t xml:space="preserve">
Team Lead:</t>
        </r>
        <r>
          <rPr>
            <sz val="9"/>
            <color indexed="81"/>
            <rFont val="Tahoma"/>
            <family val="2"/>
          </rPr>
          <t xml:space="preserve">
occurs during the capstone field internship experience in which students apply the concepts acquired and demonstrate that they have achieved the terminal goals for learning established by their educational program, and are able to demonstrate entry-level competency in the profession including the cognitive, psychomotor, and affective learning domains.  The capstone experience occurs after the didactic, lab and clinical, and optional field experience components have been completed and of sufficient volume to show competence in a wide range of clinical situations.  A successful team lead should be clearly defined for preceptors and students to assist in inter-rater reliability.</t>
        </r>
      </text>
    </comment>
    <comment ref="K245" authorId="2" shapeId="0" xr:uid="{AAF3B00D-B1C2-407C-AE8F-A1C6F771244F}">
      <text>
        <r>
          <rPr>
            <b/>
            <sz val="9"/>
            <color indexed="81"/>
            <rFont val="Tahoma"/>
            <family val="2"/>
          </rPr>
          <t xml:space="preserve">
Clinical experience</t>
        </r>
        <r>
          <rPr>
            <sz val="9"/>
            <color indexed="81"/>
            <rFont val="Tahoma"/>
            <family val="2"/>
          </rPr>
          <t>: planned, scheduled, educational student experience with patient contact activities in settings, such as hospitals, clinics, free-standing emergency centers, and may include field experience.</t>
        </r>
      </text>
    </comment>
    <comment ref="L245" authorId="2" shapeId="0" xr:uid="{8062E11B-13AC-4853-9E55-F50F30080F1E}">
      <text>
        <r>
          <rPr>
            <b/>
            <sz val="9"/>
            <color indexed="81"/>
            <rFont val="Tahoma"/>
            <family val="2"/>
          </rPr>
          <t xml:space="preserve">
Field Experience</t>
        </r>
        <r>
          <rPr>
            <sz val="9"/>
            <color indexed="81"/>
            <rFont val="Tahoma"/>
            <family val="2"/>
          </rPr>
          <t>: planned, scheduled, educational student time spent on an EMS unit, which may include observation and skill development, but which does not include capstone field internship team leading and does not contribute to the CoAEMSP definition of field internship.</t>
        </r>
      </text>
    </comment>
    <comment ref="M245" authorId="2" shapeId="0" xr:uid="{FCBCFE30-FF3C-42AB-BBEC-D90D90513455}">
      <text>
        <r>
          <rPr>
            <b/>
            <sz val="9"/>
            <color indexed="81"/>
            <rFont val="Tahoma"/>
            <family val="2"/>
          </rPr>
          <t xml:space="preserve">
Capstone Experience:  </t>
        </r>
        <r>
          <rPr>
            <sz val="9"/>
            <color indexed="81"/>
            <rFont val="Tahoma"/>
            <family val="2"/>
          </rPr>
          <t>a set of activities occurring toward the end of the educational process to allow students to develop and practice high-level decision making by intergrating and applying their Paramedic learning in all educational domains.</t>
        </r>
        <r>
          <rPr>
            <b/>
            <sz val="9"/>
            <color indexed="81"/>
            <rFont val="Tahoma"/>
            <family val="2"/>
          </rPr>
          <t xml:space="preserve">
Field Internship</t>
        </r>
        <r>
          <rPr>
            <sz val="9"/>
            <color indexed="81"/>
            <rFont val="Tahoma"/>
            <family val="2"/>
          </rPr>
          <t>: planned, scheduled, educational student time on an advanced life support (ALS) unit responsible for responding to critical and emergent patients who access the emergency medical system to develop and evaluate team leading skills. The primary purpose of field internship is a capstone experience managing the Paramedic level decision-making associated with pre-hospital patients.</t>
        </r>
      </text>
    </comment>
    <comment ref="B247" authorId="2" shapeId="0" xr:uid="{3DF8EAB5-91F1-4A01-8062-AFB02CCE3AC5}">
      <text>
        <r>
          <rPr>
            <b/>
            <sz val="9"/>
            <color indexed="81"/>
            <rFont val="Tahoma"/>
            <family val="2"/>
          </rPr>
          <t xml:space="preserve">
List all the courses that are required for completion of the AEMT educational program only in the sequence in which the students would typically enroll in them.</t>
        </r>
      </text>
    </comment>
    <comment ref="D247" authorId="0" shapeId="0" xr:uid="{571B9680-A1D0-43F8-A4A3-79B5B586A740}">
      <text>
        <r>
          <rPr>
            <b/>
            <sz val="9"/>
            <color indexed="81"/>
            <rFont val="Tahoma"/>
            <family val="2"/>
          </rPr>
          <t xml:space="preserve">
The list of courses presented here constitutes the official CoAEMSP Letter of Review/approved AEMT educational program. 
All courses listed must be successfully completed in order for the student to graduate and receive the award (e.g., certificate, degree)</t>
        </r>
        <r>
          <rPr>
            <sz val="9"/>
            <color indexed="81"/>
            <rFont val="Tahoma"/>
            <family val="2"/>
          </rPr>
          <t xml:space="preserve">
</t>
        </r>
      </text>
    </comment>
    <comment ref="E247" authorId="0" shapeId="0" xr:uid="{4F1E4DA0-155D-4FAF-ACB5-764D212DBC51}">
      <text>
        <r>
          <rPr>
            <b/>
            <sz val="9"/>
            <color indexed="81"/>
            <rFont val="Tahoma"/>
            <family val="2"/>
          </rPr>
          <t xml:space="preserve">
Core Courses:
</t>
        </r>
        <r>
          <rPr>
            <sz val="9"/>
            <color indexed="81"/>
            <rFont val="Tahoma"/>
            <family val="2"/>
          </rPr>
          <t xml:space="preserve">are the primary didactic, laboratory, clinical, and field experience courses that impart the AEMT competencies.
Core courses do not need to include the "card" courses (e.g., PEPP, ITLS, PHTLS)
ALL core courses MUST be completed prior to the capstone field internship courses, where the student functions as team leader.
</t>
        </r>
      </text>
    </comment>
    <comment ref="B262" authorId="2" shapeId="0" xr:uid="{68D3D337-151B-4692-AC4B-0C6262C2D65A}">
      <text>
        <r>
          <rPr>
            <b/>
            <sz val="9"/>
            <color indexed="81"/>
            <rFont val="Tahoma"/>
            <family val="2"/>
          </rPr>
          <t>Sequence:</t>
        </r>
        <r>
          <rPr>
            <sz val="9"/>
            <color indexed="81"/>
            <rFont val="Tahoma"/>
            <family val="2"/>
          </rPr>
          <t xml:space="preserve">
For example: may be Fall, Spring, Summer
May be 1, 2, 3, 4...</t>
        </r>
      </text>
    </comment>
    <comment ref="C279" authorId="0" shapeId="0" xr:uid="{2DDE96A6-3480-42FA-B4FB-3974DA7D1C2D}">
      <text>
        <r>
          <rPr>
            <b/>
            <sz val="9"/>
            <color indexed="81"/>
            <rFont val="Tahoma"/>
            <family val="2"/>
          </rPr>
          <t xml:space="preserve">
Course Syllabus:
a document that describes a body of instruction (e.g., course). It must include learning goals, course objectives, and competencies required for graduation (Standard III.C), but often includes the course description, days/times of class meetings, required textbooks and other reference materials, attendance policy, evaluations (e.g., test, quizzes, projects, research papers), grading policy, ADA statement, content outline, and weekly topic outline.</t>
        </r>
        <r>
          <rPr>
            <sz val="9"/>
            <color indexed="81"/>
            <rFont val="Tahoma"/>
            <family val="2"/>
          </rPr>
          <t xml:space="preserve">
</t>
        </r>
      </text>
    </comment>
    <comment ref="M280" authorId="0" shapeId="0" xr:uid="{8132E99A-3D1B-4220-8A38-BC999CD452E3}">
      <text>
        <r>
          <rPr>
            <sz val="9"/>
            <color indexed="81"/>
            <rFont val="Tahoma"/>
            <family val="2"/>
          </rPr>
          <t xml:space="preserve">
</t>
        </r>
        <r>
          <rPr>
            <b/>
            <sz val="9"/>
            <color indexed="81"/>
            <rFont val="Tahoma"/>
            <family val="2"/>
          </rPr>
          <t>Course Syllabus:</t>
        </r>
        <r>
          <rPr>
            <sz val="9"/>
            <color indexed="81"/>
            <rFont val="Tahoma"/>
            <family val="2"/>
          </rPr>
          <t xml:space="preserve">
</t>
        </r>
        <r>
          <rPr>
            <b/>
            <sz val="9"/>
            <color indexed="81"/>
            <rFont val="Tahoma"/>
            <family val="2"/>
          </rPr>
          <t>a document that describes a body of instruction (e.g., course). It must include learning goals, course objectives, and competencies required for graduation (Standard III.C), but often includes the course description, days/times of class meetings, required textbooks and other reference materials, attendance policy, evaluations (e.g., test, quizzes, projects, research papers), grading policy, ADA statement, content outline, and weekly topic outline.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Lisa Collard</author>
    <author>wwg</author>
  </authors>
  <commentList>
    <comment ref="B10" authorId="0" shapeId="0" xr:uid="{E8CDF27A-7BE8-4EE0-92BE-76EA272A9C1F}">
      <text>
        <r>
          <rPr>
            <b/>
            <sz val="9"/>
            <color indexed="81"/>
            <rFont val="Tahoma"/>
            <family val="2"/>
          </rPr>
          <t xml:space="preserve">
III.A.1. Resources – Type and Amount 
Program resources must be sufficient to ensure the achievement of the program’s goals and outcomes.  Resources must include, but are not limited to: 
a. Faculty;
b. Administrative and support staff;
c. Curriculum;
d. Finances;
e. Faculty and staff workspace;
f. Space for confidential interactions;
g. Classroom and laboratory (physical or virtual);
h. Ancillary student facilities;
i. Clinical affiliates;
j. Field experience and capstone field internship affiliates;
k. Equipment;
l. Supplies;
m. Information technology;
n. Instructional materials; and
o. Support for faculty professional development.
</t>
        </r>
      </text>
    </comment>
    <comment ref="B12" authorId="0" shapeId="0" xr:uid="{57E7729F-6287-4D3C-BACA-5D86E8174E46}">
      <text>
        <r>
          <rPr>
            <b/>
            <sz val="9"/>
            <color indexed="81"/>
            <rFont val="Tahoma"/>
            <family val="2"/>
          </rPr>
          <t xml:space="preserve">
Standard V.F.  Fair Practices-Agreements
There must be a formal affiliation agreement or memorandum of understanding between the program sponsor and all other entities that participate in the education of the students describing the relationship, roles, and responsibilities of the program sponsor and that entity.
</t>
        </r>
      </text>
    </comment>
    <comment ref="D38" authorId="0" shapeId="0" xr:uid="{EAF26815-65AF-4FE4-BB06-3C80A49C486E}">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Q38" authorId="0" shapeId="0" xr:uid="{E4DEA36E-96BE-40F9-9856-6C51F24C723A}">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AD38" authorId="0" shapeId="0" xr:uid="{9BADDFBF-18B3-410F-B414-F2EEF42A737C}">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AQ38" authorId="0" shapeId="0" xr:uid="{6A46D01E-3421-46AA-9E32-1D5D7EC868DC}">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BD38" authorId="0" shapeId="0" xr:uid="{EA51D701-EA3F-4BBE-A5AC-61AB752D5FF8}">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BQ38" authorId="0" shapeId="0" xr:uid="{1F248B9F-1319-4509-BE97-15DACF6A5DB1}">
      <text>
        <r>
          <rPr>
            <sz val="9"/>
            <color indexed="81"/>
            <rFont val="Tahoma"/>
            <family val="2"/>
          </rPr>
          <t xml:space="preserve">
The on-site liaison is the key contact for the affiliate site which provides guidance to other clinical and field experience preceptors.
Students must evaluate the overall clinical and field experience sites.
Programs demonstrate an on-site liaison provides guidance and has completed the orientation
• dated rosters 
• signed acknowledgement of orientation
</t>
        </r>
      </text>
    </comment>
    <comment ref="D39" authorId="0" shapeId="0" xr:uid="{A905064B-8557-4608-BB75-EF07C04F1EAD}">
      <text>
        <r>
          <rPr>
            <sz val="9"/>
            <color indexed="81"/>
            <rFont val="Tahoma"/>
            <family val="2"/>
          </rPr>
          <t xml:space="preserve">
Clinical and capstone field internship resources must be adequate for the number of students enrolled.  The on-site liaison must be trained prior to submission of the self-study to ensure adequate resources for students in those experiences. </t>
        </r>
      </text>
    </comment>
    <comment ref="Q39" authorId="0" shapeId="0" xr:uid="{597CCB1F-22DC-45F5-9272-AFBE58E4A968}">
      <text>
        <r>
          <rPr>
            <sz val="9"/>
            <color indexed="81"/>
            <rFont val="Tahoma"/>
            <family val="2"/>
          </rPr>
          <t xml:space="preserve">
Clinical and capstone field internship resources must be adequate for the number of students enrolled.  The on-site liaison must be trained prior to submission of the self-study to ensure adequate resources for students in those experiences. </t>
        </r>
      </text>
    </comment>
    <comment ref="AD39" authorId="0" shapeId="0" xr:uid="{F06E635F-DF98-4292-8C0A-1646DF264939}">
      <text>
        <r>
          <rPr>
            <sz val="9"/>
            <color indexed="81"/>
            <rFont val="Tahoma"/>
            <family val="2"/>
          </rPr>
          <t xml:space="preserve">
Clinical and capstone field internship resources must be adequate for the number of students enrolled.  The on-site liaison must be trained prior to submission of the self-study to ensure adequate resources for students in those experiences. </t>
        </r>
      </text>
    </comment>
    <comment ref="AQ39" authorId="0" shapeId="0" xr:uid="{6F9FF8A4-91CF-4517-AB51-16B73627E282}">
      <text>
        <r>
          <rPr>
            <sz val="9"/>
            <color indexed="81"/>
            <rFont val="Tahoma"/>
            <family val="2"/>
          </rPr>
          <t xml:space="preserve">
Clinical and capstone field internship resources must be adequate for the number of students enrolled.  The on-site liaison must be trained prior to submission of the self-study to ensure adequate resources for students in those experiences. </t>
        </r>
      </text>
    </comment>
    <comment ref="BD39" authorId="0" shapeId="0" xr:uid="{F329E936-EEB1-493E-9F55-DE1C82F507F6}">
      <text>
        <r>
          <rPr>
            <sz val="9"/>
            <color indexed="81"/>
            <rFont val="Tahoma"/>
            <family val="2"/>
          </rPr>
          <t xml:space="preserve">
Clinical and capstone field internship resources must be adequate for the number of students enrolled.  The on-site liaison must be trained prior to submission of the self-study to ensure adequate resources for students in those experiences. </t>
        </r>
      </text>
    </comment>
    <comment ref="BQ39" authorId="0" shapeId="0" xr:uid="{7D443059-DDE6-48B6-94DA-CB1FF4285404}">
      <text>
        <r>
          <rPr>
            <sz val="9"/>
            <color indexed="81"/>
            <rFont val="Tahoma"/>
            <family val="2"/>
          </rPr>
          <t xml:space="preserve">
Clinical and capstone field internship resources must be adequate for the number of students enrolled.  The on-site liaison must be trained prior to submission of the self-study to ensure adequate resources for students in those experiences. </t>
        </r>
      </text>
    </comment>
    <comment ref="C42" authorId="1" shapeId="0" xr:uid="{8F893257-8A43-42EB-B6E5-E71DEB9BFFE0}">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E42" authorId="1" shapeId="0" xr:uid="{D8D7F5AA-5D0A-4FDD-BC2B-CEC05E9EE8CF}">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F42" authorId="1" shapeId="0" xr:uid="{78FC412D-88AE-4B10-BE43-0718FC0A507D}">
      <text>
        <r>
          <rPr>
            <b/>
            <sz val="9"/>
            <color indexed="81"/>
            <rFont val="Tahoma"/>
            <family val="2"/>
          </rPr>
          <t># of AEMT Students:</t>
        </r>
        <r>
          <rPr>
            <sz val="9"/>
            <color indexed="81"/>
            <rFont val="Tahoma"/>
            <family val="2"/>
          </rPr>
          <t xml:space="preserve">
Typically how many AEMT students are assigned simultaneously in the various rotations? (e.g., is there more than 1 student assigned simultaneously to a given department/rotation)</t>
        </r>
      </text>
    </comment>
    <comment ref="P42" authorId="1" shapeId="0" xr:uid="{4C5CB832-44E4-4BDD-B232-49A88115FA78}">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R42" authorId="1" shapeId="0" xr:uid="{3A10C1E8-9202-4659-BAB1-9B093B361A1F}">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S42" authorId="1" shapeId="0" xr:uid="{9EC85709-0C12-4071-90F7-22153EFBB95A}">
      <text>
        <r>
          <rPr>
            <b/>
            <sz val="9"/>
            <color indexed="81"/>
            <rFont val="Tahoma"/>
            <family val="2"/>
          </rPr>
          <t># of AEMT Students:</t>
        </r>
        <r>
          <rPr>
            <sz val="9"/>
            <color indexed="81"/>
            <rFont val="Tahoma"/>
            <family val="2"/>
          </rPr>
          <t xml:space="preserve">
Typically how many AEMT students are assigned simultaneously in the various rotations? (e.g., is there more than 1 student assigned simultaneously to a given department/rotation)</t>
        </r>
      </text>
    </comment>
    <comment ref="AC42" authorId="1" shapeId="0" xr:uid="{013F88A4-B3A9-494F-942A-DAE3E31201F9}">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AE42" authorId="1" shapeId="0" xr:uid="{88C11B4F-B8D2-4535-B832-5C457B30557A}">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AF42" authorId="1" shapeId="0" xr:uid="{59DDF755-F796-4BA3-8B90-C782D391C6F8}">
      <text>
        <r>
          <rPr>
            <b/>
            <sz val="9"/>
            <color indexed="81"/>
            <rFont val="Tahoma"/>
            <family val="2"/>
          </rPr>
          <t># of AEMT Students:</t>
        </r>
        <r>
          <rPr>
            <sz val="9"/>
            <color indexed="81"/>
            <rFont val="Tahoma"/>
            <family val="2"/>
          </rPr>
          <t xml:space="preserve">
Typically how many AEMT students are assigned simultaneously in the various rotations? (e.g., is there more than 1 student assigned simultaneously to a given department/rotation)</t>
        </r>
      </text>
    </comment>
    <comment ref="AP42" authorId="1" shapeId="0" xr:uid="{9F53910E-7F93-44AA-A4F6-908F5C6BA925}">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AR42" authorId="1" shapeId="0" xr:uid="{24296ABF-486C-4862-9F76-6E187B15B1D5}">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AS42" authorId="1" shapeId="0" xr:uid="{FAF33FC2-C08B-4512-A10D-323822244ADA}">
      <text>
        <r>
          <rPr>
            <b/>
            <sz val="9"/>
            <color indexed="81"/>
            <rFont val="Tahoma"/>
            <family val="2"/>
          </rPr>
          <t># of AEMT Students:</t>
        </r>
        <r>
          <rPr>
            <sz val="9"/>
            <color indexed="81"/>
            <rFont val="Tahoma"/>
            <family val="2"/>
          </rPr>
          <t xml:space="preserve">
Typically how many AEMT students are assigned simultaneously in the various rotations? (e.g., is there more than 1 student assigned simultaneously to a given department/rotation)</t>
        </r>
      </text>
    </comment>
    <comment ref="BC42" authorId="1" shapeId="0" xr:uid="{58B25B94-56C1-436A-8131-2D8B980D4CC5}">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BE42" authorId="1" shapeId="0" xr:uid="{442F06A2-8715-42C1-BE1C-8FB9E704B43A}">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BF42" authorId="1" shapeId="0" xr:uid="{C9577ECC-442F-4403-B851-CF352C9B1AD4}">
      <text>
        <r>
          <rPr>
            <b/>
            <sz val="9"/>
            <color indexed="81"/>
            <rFont val="Tahoma"/>
            <family val="2"/>
          </rPr>
          <t># of AEMT Students:</t>
        </r>
        <r>
          <rPr>
            <sz val="9"/>
            <color indexed="81"/>
            <rFont val="Tahoma"/>
            <family val="2"/>
          </rPr>
          <t xml:space="preserve">
Typically how many AEMT students are assigned simultaneously in the various rotations? (e.g., is there more than 1 student assigned simultaneously to a given department/rotation)</t>
        </r>
      </text>
    </comment>
    <comment ref="BP42" authorId="1" shapeId="0" xr:uid="{86117020-1816-4C1B-85FF-61D6CE8B4E34}">
      <text>
        <r>
          <rPr>
            <b/>
            <sz val="9"/>
            <color indexed="81"/>
            <rFont val="Tahoma"/>
            <family val="2"/>
          </rPr>
          <t>Avg # pt visits/yr:</t>
        </r>
        <r>
          <rPr>
            <sz val="9"/>
            <color indexed="81"/>
            <rFont val="Tahoma"/>
            <family val="2"/>
          </rPr>
          <t xml:space="preserve">
How many patients are typically seen in a 12-month period in the rotation areas listed, in which the program is assigning students?</t>
        </r>
      </text>
    </comment>
    <comment ref="BR42" authorId="1" shapeId="0" xr:uid="{A8623A90-0996-49D7-A629-D3B817474347}">
      <text>
        <r>
          <rPr>
            <b/>
            <sz val="9"/>
            <color indexed="81"/>
            <rFont val="Tahoma"/>
            <family val="2"/>
          </rPr>
          <t xml:space="preserve">Avg # Hours:
</t>
        </r>
        <r>
          <rPr>
            <sz val="9"/>
            <color indexed="81"/>
            <rFont val="Tahoma"/>
            <family val="2"/>
          </rPr>
          <t>What is the average number of hours for rotations for a given student, as assigned by the program?  For example, how many hours constitute the length of the rotation?</t>
        </r>
      </text>
    </comment>
    <comment ref="BS42" authorId="1" shapeId="0" xr:uid="{F31637A2-8812-400B-90D4-7E1D2B092465}">
      <text>
        <r>
          <rPr>
            <b/>
            <sz val="9"/>
            <color indexed="81"/>
            <rFont val="Tahoma"/>
            <family val="2"/>
          </rPr>
          <t># of AEMT Students:</t>
        </r>
        <r>
          <rPr>
            <sz val="9"/>
            <color indexed="81"/>
            <rFont val="Tahoma"/>
            <family val="2"/>
          </rPr>
          <t xml:space="preserve">
Typically how many AEMT students are assigned simultaneously in the various rotations? (e.g., is there more than 1 student assigned simultaneously to a given department/rotation)</t>
        </r>
      </text>
    </comment>
    <comment ref="F98" authorId="0" shapeId="0" xr:uid="{8EE0D7ED-5F1F-467D-AB39-1622D3F4E475}">
      <text>
        <r>
          <rPr>
            <sz val="9"/>
            <color indexed="81"/>
            <rFont val="Tahoma"/>
            <family val="2"/>
          </rPr>
          <t xml:space="preserve">
Programs demonstrate each capstone field internship preceptor has completed training
• dated rosters
• on-line logs (optional)
• signed acknowledgement of orientation
• capstone field internship preceptors must be evaluated by the student(s)</t>
        </r>
      </text>
    </comment>
    <comment ref="S98" authorId="0" shapeId="0" xr:uid="{85995696-6510-48DF-8992-8D1B5F1C6625}">
      <text>
        <r>
          <rPr>
            <sz val="9"/>
            <color indexed="81"/>
            <rFont val="Tahoma"/>
            <family val="2"/>
          </rPr>
          <t xml:space="preserve">
Programs demonstrate each capstone field internship preceptor has completed training
• dated rosters
• on-line logs (optional)
• signed acknowledgement of orientation
• capstone field internship preceptors must be evaluated by the student(s)</t>
        </r>
      </text>
    </comment>
    <comment ref="AF98" authorId="0" shapeId="0" xr:uid="{B4694B47-7385-4962-BE66-2B96DA75A63F}">
      <text>
        <r>
          <rPr>
            <sz val="9"/>
            <color indexed="81"/>
            <rFont val="Tahoma"/>
            <family val="2"/>
          </rPr>
          <t xml:space="preserve">
Programs demonstrate each capstone field internship preceptor has completed training
• dated rosters
• on-line logs (optional)
• signed acknowledgement of orientation
• capstone field internship preceptors must be evaluated by the student(s)</t>
        </r>
      </text>
    </comment>
    <comment ref="AS98" authorId="0" shapeId="0" xr:uid="{F2F8F822-B749-4920-8928-0CD4CB7D2F34}">
      <text>
        <r>
          <rPr>
            <sz val="9"/>
            <color indexed="81"/>
            <rFont val="Tahoma"/>
            <family val="2"/>
          </rPr>
          <t xml:space="preserve">
Programs demonstrate each capstone field internship preceptor has completed training
• dated rosters
• on-line logs (optional)
• signed acknowledgement of orientation
• capstone field internship preceptors must be evaluated by the student(s)</t>
        </r>
      </text>
    </comment>
    <comment ref="BF98" authorId="0" shapeId="0" xr:uid="{691DFB03-26DC-49D9-8B43-FAF75C260B9E}">
      <text>
        <r>
          <rPr>
            <sz val="9"/>
            <color indexed="81"/>
            <rFont val="Tahoma"/>
            <family val="2"/>
          </rPr>
          <t xml:space="preserve">
Programs demonstrate each capstone field internship preceptor has completed training
• dated rosters
• on-line logs (optional)
• signed acknowledgement of orientation
• capstone field internship preceptors must be evaluated by the student(s)</t>
        </r>
      </text>
    </comment>
    <comment ref="BS98" authorId="0" shapeId="0" xr:uid="{2FA6F71A-02BC-452E-8B7B-34DBA4335DE3}">
      <text>
        <r>
          <rPr>
            <sz val="9"/>
            <color indexed="81"/>
            <rFont val="Tahoma"/>
            <family val="2"/>
          </rPr>
          <t xml:space="preserve">
Programs demonstrate each capstone field internship preceptor has completed training
• dated rosters
• on-line logs (optional)
• signed acknowledgement of orientation
• capstone field internship preceptors must be evaluated by the student(s)</t>
        </r>
      </text>
    </comment>
    <comment ref="D163" authorId="0" shapeId="0" xr:uid="{50DFC625-5C48-47BA-997F-454B489F25A3}">
      <text>
        <r>
          <rPr>
            <sz val="9"/>
            <color indexed="81"/>
            <rFont val="Tahoma"/>
            <family val="2"/>
          </rPr>
          <t xml:space="preserve">
Clinical and capstone field internship resources must be adequate for the number of students enrolled.  The on-site liaison must be trained prior to submission of the self-study to ensure adequate resources for students in those experiences. </t>
        </r>
      </text>
    </comment>
    <comment ref="Q163" authorId="0" shapeId="0" xr:uid="{98D8BCE6-6694-4404-A6D4-1C2209AE3915}">
      <text>
        <r>
          <rPr>
            <sz val="9"/>
            <color indexed="81"/>
            <rFont val="Tahoma"/>
            <family val="2"/>
          </rPr>
          <t xml:space="preserve">
Clinical and capstone field internship resources must be adequate for the number of students enrolled.  The on-site liaison must be trained prior to submission of the self-study to ensure adequate resources for students in those experiences. </t>
        </r>
      </text>
    </comment>
    <comment ref="AD163" authorId="0" shapeId="0" xr:uid="{D63A1CD9-2760-4121-9A7C-E74BCBD42E7D}">
      <text>
        <r>
          <rPr>
            <sz val="9"/>
            <color indexed="81"/>
            <rFont val="Tahoma"/>
            <family val="2"/>
          </rPr>
          <t xml:space="preserve">
Clinical and capstone field internship resources must be adequate for the number of students enrolled.  The on-site liaison must be trained prior to submission of the self-study to ensure adequate resources for students in those experiences. </t>
        </r>
      </text>
    </comment>
  </commentList>
</comments>
</file>

<file path=xl/sharedStrings.xml><?xml version="1.0" encoding="utf-8"?>
<sst xmlns="http://schemas.openxmlformats.org/spreadsheetml/2006/main" count="355" uniqueCount="268">
  <si>
    <t xml:space="preserve"> </t>
  </si>
  <si>
    <t xml:space="preserve">City:   </t>
  </si>
  <si>
    <t xml:space="preserve">State:   </t>
  </si>
  <si>
    <t xml:space="preserve">Zip:   </t>
  </si>
  <si>
    <t>Please Select</t>
  </si>
  <si>
    <t xml:space="preserve">        </t>
  </si>
  <si>
    <t>&lt;=== Hovering your cursor over a cell with a red triangle in upper right corner reveals text.  Try it.</t>
  </si>
  <si>
    <t>Foreign Post-Secondary Institution (Standard I.A.2)</t>
  </si>
  <si>
    <t>Click Here For Step By Step Instructions</t>
  </si>
  <si>
    <t>© 2022 by the Committee on Accreditation of Educational Program for the Emergency Medical Services Professions, Inc., Rowlett, TX. 
CAAHEP accredited and CoAEMSP approved LOR programs may use for program educational purposes. 
All other uses prohibited without express written permission.</t>
  </si>
  <si>
    <t>Paramedic Program Information</t>
  </si>
  <si>
    <t>AEMT Program Information</t>
  </si>
  <si>
    <t xml:space="preserve">Sponsor Name:   </t>
  </si>
  <si>
    <t xml:space="preserve">Sponsor Address:   </t>
  </si>
  <si>
    <t>Sponsor Information</t>
  </si>
  <si>
    <t>5.</t>
  </si>
  <si>
    <t>6.</t>
  </si>
  <si>
    <t xml:space="preserve">       </t>
  </si>
  <si>
    <t>7.</t>
  </si>
  <si>
    <t>Name and contact information for person(s) responsible for the preparation of the report:</t>
  </si>
  <si>
    <t>Name:</t>
  </si>
  <si>
    <t xml:space="preserve">  Title:</t>
  </si>
  <si>
    <t>Phone Number:</t>
  </si>
  <si>
    <t>Title:</t>
  </si>
  <si>
    <t xml:space="preserve">   Submission Date:</t>
  </si>
  <si>
    <t xml:space="preserve">AEMT Program Name:   </t>
  </si>
  <si>
    <t>By selecting 'Yes', I attest that the information in this submission is true and correct, and an accurate description of the AEMT program.  Also, selecting 'Yes' and submitting this LoR Application is authorization for initiating the accreditation process by the President/CEO of record for initiating the Commission on Accreditation of Allied Health Education Programs (CAAHEP) accreditation process by first seeking the CoAEMSP Letter of Review.</t>
  </si>
  <si>
    <t>By selecting 'Yes', and submitting this LoR Application, I acknowledge and agree that the CoAEMSP may, at its discretion, share information regarding the program's accreditation or Letter of Review status with the State Office(s) of EMS, NREMT, and the instutional accreditor at any time.</t>
  </si>
  <si>
    <t>Is the Paramedic program offered at the sponsor address listed above?</t>
  </si>
  <si>
    <t xml:space="preserve"> CoAEMSP Paramedic 
     Program Number:   </t>
  </si>
  <si>
    <t>2.</t>
  </si>
  <si>
    <t>Does the program sponsor have an articulation agreement(s)?</t>
  </si>
  <si>
    <t>3.</t>
  </si>
  <si>
    <t xml:space="preserve">   (in months)</t>
  </si>
  <si>
    <t>4.</t>
  </si>
  <si>
    <t>Does the program sponsor offer both a certificate/diploma and a degree option?</t>
  </si>
  <si>
    <t>Is there more than one (1) track offered in the same program with different requirements or schedule?</t>
  </si>
  <si>
    <t>8.</t>
  </si>
  <si>
    <t>Does the program enroll students in an Advanced Placement process?</t>
  </si>
  <si>
    <t>9.</t>
  </si>
  <si>
    <t>10.</t>
  </si>
  <si>
    <t>12.</t>
  </si>
  <si>
    <t xml:space="preserve">                    Paramedic 
                Program Name:</t>
  </si>
  <si>
    <t xml:space="preserve">    AEMT Invoice Number:   </t>
  </si>
  <si>
    <t>Save and Complete next tab (Standards)</t>
  </si>
  <si>
    <t>1.</t>
  </si>
  <si>
    <t>How is the AEMT program offered (i.e., traditional, on-line, both)?</t>
  </si>
  <si>
    <t>Standard II.A
Program Goals &amp; Minimum Expectations</t>
  </si>
  <si>
    <t>List at least one (1) program document where the Minimum Expectations goal is published (e.g., program webpage, institutional catalog, student handbook, program policies and procedures):</t>
  </si>
  <si>
    <t>Page Number
(N/A for website)</t>
  </si>
  <si>
    <t>Hospital, clinic, or medical center (Standard I.A.3)</t>
  </si>
  <si>
    <t xml:space="preserve">                       Type of File(s):    Adobe Portable Document (.pdf)</t>
  </si>
  <si>
    <t>Standard II.B
Program Advisory Committee</t>
  </si>
  <si>
    <t>Standard III.A.1
Resources
Type &amp; Amount</t>
  </si>
  <si>
    <t>CoAEMSP provides a form.  See available link to the right ====&gt;</t>
  </si>
  <si>
    <t>Standard III.A.2
Clinical, Field Experience, &amp; Capstone Field Internship Affiliations</t>
  </si>
  <si>
    <t>Standard III.D.
Resource Assessment</t>
  </si>
  <si>
    <t xml:space="preserve">Student Minimum Competency Recommendations
</t>
  </si>
  <si>
    <t xml:space="preserve">            Exact Document Name:</t>
  </si>
  <si>
    <t xml:space="preserve">             Type of File:    Excel (.xlsx)</t>
  </si>
  <si>
    <t>Standard III.C.
Curriculum</t>
  </si>
  <si>
    <t>Does the capstone field internship provide the student with an opportunity to serve as team leader in a variety of pre-hospital advanced life support emergency medical situations?</t>
  </si>
  <si>
    <t>Program Course Requirements Table</t>
  </si>
  <si>
    <t>Course 
Number</t>
  </si>
  <si>
    <t>Course Title</t>
  </si>
  <si>
    <t># lecture clock hours</t>
  </si>
  <si>
    <t># lab clock hours</t>
  </si>
  <si>
    <t># clinical clock hours</t>
  </si>
  <si>
    <t># field experience clock hours</t>
  </si>
  <si>
    <t># capstone field internship clock hours</t>
  </si>
  <si>
    <t xml:space="preserve">Totals: </t>
  </si>
  <si>
    <t xml:space="preserve"># of courses = </t>
  </si>
  <si>
    <t>Total (clock hours):</t>
  </si>
  <si>
    <t>Sequence of Courses</t>
  </si>
  <si>
    <t>Course Number</t>
  </si>
  <si>
    <t># of credits</t>
  </si>
  <si>
    <t>Additional Program Course Requirements Table Comments (if any):</t>
  </si>
  <si>
    <t>Course Syllabi</t>
  </si>
  <si>
    <t>Sample Syllabi</t>
  </si>
  <si>
    <t>Instruction must be based on clearly written course syllabi that include course description, learning goals, course objectives appropriate for the curriculum, methods of evaluation, topic outline, and competencies required for graduation.  The program must demonstrate by comparison that the curriculum offered meets or exceeds the content and competency of the latest edition of the National EMS Education Standards.
Programs must have a separate syllabus for each course listed in the Program Course Requirements table.  Each syllabus must clearly define expectations and responsibilities of the student required to progress through the program.  At a minimum, this includes a course description, objectives, methods of evaluation, topic outline (as applicable), and competencies required for progression.  Syllabi must cover each phase of the program.  
For example: didactic, laboratory, clinical, field experience, and capstone field internship.  A schedule is not a syllabus.</t>
  </si>
  <si>
    <t xml:space="preserve">                   Exact Document Name (for each):</t>
  </si>
  <si>
    <t xml:space="preserve">                   Type of File(s):    Adobe Portable Document (.pdf)</t>
  </si>
  <si>
    <r>
      <t>The program must provide at least the Standard II.A. Minimum Expectations goal statement verbatim to students and applicants and provide evidence the statement is published :  
AEMT: “</t>
    </r>
    <r>
      <rPr>
        <b/>
        <sz val="11"/>
        <color rgb="FF008000"/>
        <rFont val="Arial"/>
        <family val="2"/>
      </rPr>
      <t>To prepare Advanced Emergency Medical Technicians who are competent in the cognitive (knowledge), psychomotor (skills), and affective (behavior) learning domains to enter the profession.</t>
    </r>
    <r>
      <rPr>
        <b/>
        <sz val="11"/>
        <color theme="1"/>
        <rFont val="Arial"/>
        <family val="2"/>
      </rPr>
      <t>”</t>
    </r>
  </si>
  <si>
    <r>
      <t xml:space="preserve">Programs must establish and require minimum numbers of student competencies (i.e., skills, patient ages, differential diagnosis or complaints, team leads, etc).  The minimum competency numbers must be approved by the program Medical Director, endorsed by the program Advisory Committee, and documented in program Advisory Committee minutes.  Program tracking documentation must demonstrate all of program graduates have met each of the program required minimum numbers.  There must be documented periodic evaluation of the established minimums to determine ongoing graduate competency.  
</t>
    </r>
    <r>
      <rPr>
        <b/>
        <i/>
        <sz val="11"/>
        <color theme="1"/>
        <rFont val="Arial"/>
        <family val="2"/>
      </rPr>
      <t xml:space="preserve">Please complete the program's required minimum numbers on the Summary Tracking tab of the SMC. </t>
    </r>
  </si>
  <si>
    <r>
      <rPr>
        <b/>
        <sz val="10"/>
        <color theme="1"/>
        <rFont val="Arial"/>
        <family val="2"/>
      </rPr>
      <t>Sequence of Courses</t>
    </r>
    <r>
      <rPr>
        <sz val="10"/>
        <color theme="1"/>
        <rFont val="Arial"/>
        <family val="2"/>
      </rPr>
      <t xml:space="preserve">
</t>
    </r>
  </si>
  <si>
    <r>
      <rPr>
        <b/>
        <sz val="16"/>
        <color theme="1"/>
        <rFont val="Arial"/>
        <family val="2"/>
      </rPr>
      <t>TABLE 2</t>
    </r>
    <r>
      <rPr>
        <sz val="11"/>
        <color theme="1"/>
        <rFont val="Arial"/>
        <family val="2"/>
      </rPr>
      <t xml:space="preserve">
</t>
    </r>
    <r>
      <rPr>
        <b/>
        <sz val="12"/>
        <color theme="1"/>
        <rFont val="Arial"/>
        <family val="2"/>
      </rPr>
      <t>Provide any REQUIRED General Education Courses or EMT Courses</t>
    </r>
    <r>
      <rPr>
        <sz val="11"/>
        <color theme="1"/>
        <rFont val="Arial"/>
        <family val="2"/>
      </rPr>
      <t xml:space="preserve">
</t>
    </r>
  </si>
  <si>
    <t>Place a copy of the course syllabus for EACH AEMT core professional course listed above in the Application sub-folder.  At a minimum, a separate syllabus should be provided for each course listed in the Program Course Requirements table.  Each document must be titled with the 'EXACT document name' and must be included as the type of file format listed below (not Word, 97-2003 [.doc], Word 2013 [.docx], or Excel (.xlsx).</t>
  </si>
  <si>
    <t>Is there currently an AEMT cohort in progress?</t>
  </si>
  <si>
    <t>Will there be a single Advisory Committee for AEMT and Paramedic?</t>
  </si>
  <si>
    <t>Link to Available Form
      (Required) ===&gt;</t>
  </si>
  <si>
    <t>Link to Available Form      
      (Required) ===&gt;</t>
  </si>
  <si>
    <t xml:space="preserve">Resource Assessment Matrix (RAM)
</t>
  </si>
  <si>
    <t>Link to Available Form      
(Samples) ===&gt;</t>
  </si>
  <si>
    <t>For the most recently completed Student Minimum Competency (SMC) Recommendations, are any of the program required minimum numbers 
below the CoAEMSP recommended numbers?</t>
  </si>
  <si>
    <t>Automatic Link ====&gt;</t>
  </si>
  <si>
    <t>Is the Program Director the same person for AEMT and Paramedic?</t>
  </si>
  <si>
    <t>Standard I.B
Responsibilities of Program Sponsor</t>
  </si>
  <si>
    <t>Articulation Agreement(s)</t>
  </si>
  <si>
    <t xml:space="preserve">The program must use the CoAEMSP resource assessment tools and collect information from at least students, faculty, program Medical Director(s), and Program Advisory Committee members at least annually.  Programs seeking a Letter of Review (LoR) are required to complete at least columns B (Purpose), C (Measurement System), and D (Dates of Measurement) of the matrix.  
The resource assessment process must be distinctly separate for AEMT and Paramedic programs. </t>
  </si>
  <si>
    <t>Number of anticipated cohorts starting each calendar year?</t>
  </si>
  <si>
    <t>11.</t>
  </si>
  <si>
    <t>13.</t>
  </si>
  <si>
    <t>15.</t>
  </si>
  <si>
    <t>16.</t>
  </si>
  <si>
    <t>17.</t>
  </si>
  <si>
    <t>18.</t>
  </si>
  <si>
    <t>Place a screenshot of the published Standard II.A. Minimum Expectaions goal statement from the program document listed above in the Application sub-folder.  This document must be titled with the 'EXACT document name' and must be included as the type of file format listed below (not Word 97-2003 [.doc], Word 2013 [.docx], or Excel [.xls]).</t>
  </si>
  <si>
    <t>Does the Paramedic program utilize alternate locations?</t>
  </si>
  <si>
    <t>Does the Paramedic program utilize satellite locations?</t>
  </si>
  <si>
    <t>Automatic Link(s) ====&gt;</t>
  </si>
  <si>
    <t>Is the Medical Director the same person for AEMT and Paramedic?</t>
  </si>
  <si>
    <t xml:space="preserve">Place the program's most recently approved/supported CoAEMSP Student Minimum Competency Recommendations in the Application sub-folder.  This document must be titled with the 'EXACT document name' and must be included as the type of file format listed below (not Word, 97-2003 [.doc], Word 2013 [.docx], or Adobe Portable Document [.pdf]).  </t>
  </si>
  <si>
    <t>What is the overall length of the AEMT program (as published in catalog)?</t>
  </si>
  <si>
    <t>14.</t>
  </si>
  <si>
    <t>19.</t>
  </si>
  <si>
    <t>20.</t>
  </si>
  <si>
    <t>&lt;=== Hover cursor for definition</t>
  </si>
  <si>
    <t xml:space="preserve">&lt;=== Hover cursor to see definitions </t>
  </si>
  <si>
    <t>Committee on Accreditation of Educational Programs</t>
  </si>
  <si>
    <t>for the EMS Professions</t>
  </si>
  <si>
    <t>8301 Lakeview Pkwy, Suite 111-312</t>
  </si>
  <si>
    <t>Rowlett, TX  75088</t>
  </si>
  <si>
    <r>
      <t xml:space="preserve">for the 2023 CAAHEP </t>
    </r>
    <r>
      <rPr>
        <b/>
        <i/>
        <sz val="24"/>
        <color rgb="FF002060"/>
        <rFont val="Arial"/>
        <family val="2"/>
      </rPr>
      <t>Standards &amp; Guidelines</t>
    </r>
  </si>
  <si>
    <t>INSTRUCTIONS</t>
  </si>
  <si>
    <t>APPLICATION FORMAT:</t>
  </si>
  <si>
    <t xml:space="preserve">Respond to each question directly into the spaces provided in this application.  The protected format does not spell-check, so responses may be composed in a wordprocessing document, then pasted into this application when complete.  The application contains built in logic that formulates questions based on the way previous ones have been answered.  If a question appears like it is blank or incomplete, then a question has not yet been answered and will appear blank or incomplete until all required questions have been answered.  Therefore, you should complete each of the following TABS in order throughout the application.  </t>
  </si>
  <si>
    <r>
      <t>FEES</t>
    </r>
    <r>
      <rPr>
        <sz val="11"/>
        <color rgb="FF002060"/>
        <rFont val="Arial"/>
        <family val="2"/>
      </rPr>
      <t xml:space="preserve">: </t>
    </r>
  </si>
  <si>
    <t>All new programs must complete and submit the 'LoR Application Invoice Request' form.  The invoice will be sent to the program and is payable upon submission of the LoR Application.</t>
  </si>
  <si>
    <t>Staff:</t>
  </si>
  <si>
    <t>Accounting@coaemsp.org</t>
  </si>
  <si>
    <t>NOTE: Additional fees may be assessed if documents are rejected and/or require re-submission.</t>
  </si>
  <si>
    <t>See:</t>
  </si>
  <si>
    <t>Fee Chart</t>
  </si>
  <si>
    <r>
      <t xml:space="preserve">Lisa Collard
214-703-8445 </t>
    </r>
    <r>
      <rPr>
        <sz val="9"/>
        <color rgb="FF984806"/>
        <rFont val="Arial"/>
        <family val="2"/>
      </rPr>
      <t>ext 118</t>
    </r>
  </si>
  <si>
    <r>
      <t xml:space="preserve">The LoR Application must be submitted electronically via upload according to the Step By Step Instructions. </t>
    </r>
    <r>
      <rPr>
        <b/>
        <sz val="11"/>
        <color rgb="FF002060"/>
        <rFont val="Arial"/>
        <family val="2"/>
      </rPr>
      <t xml:space="preserve"> No paper copies or USB/CDs are accepted.</t>
    </r>
    <r>
      <rPr>
        <sz val="11"/>
        <color rgb="FF002060"/>
        <rFont val="Arial"/>
        <family val="2"/>
      </rPr>
      <t xml:space="preserve">  If the program needs further assistance, please contact Lisa Collard.</t>
    </r>
  </si>
  <si>
    <t>The program must ensure the achievement of program goals and learning domains.  Instruction must be an appropriate sequence of classroom (core didactic), laboratory, clinical/field experience, and capstone field internship activities.  Progression of learning must be didactic/laboratory integrated with or followed by clinical/field experience followed by the capstone field internship.  All core AEMT courses must be completed PRIOR to students starting capstone field internship.
List all the required core courses in the sequence in which students would typically enroll for completion of the AEMT program in the table below.  All courses listed must be successfully completed in order for the student to graduate.  The list of courses below constitutes the official accredited program.</t>
  </si>
  <si>
    <t>21.</t>
  </si>
  <si>
    <t>Standard III.A.1
Resources 
Type &amp; Amount</t>
  </si>
  <si>
    <t>Standard V.F. 
Fair Practices - Agreements</t>
  </si>
  <si>
    <t>AK 1</t>
  </si>
  <si>
    <t>IA 13</t>
  </si>
  <si>
    <t>MO 25</t>
  </si>
  <si>
    <t>OK 37</t>
  </si>
  <si>
    <t>WI 49</t>
  </si>
  <si>
    <t>AL 2</t>
  </si>
  <si>
    <t>ID 14</t>
  </si>
  <si>
    <t>MS 26</t>
  </si>
  <si>
    <t>OR 38</t>
  </si>
  <si>
    <t>WV 50</t>
  </si>
  <si>
    <t>AR 3</t>
  </si>
  <si>
    <t>IL 15</t>
  </si>
  <si>
    <t>MT 27</t>
  </si>
  <si>
    <t>PA 39</t>
  </si>
  <si>
    <t>WY 51</t>
  </si>
  <si>
    <t>AZ 4</t>
  </si>
  <si>
    <t>IN 16</t>
  </si>
  <si>
    <t>NC 28</t>
  </si>
  <si>
    <t>RI 40</t>
  </si>
  <si>
    <t>CA 5</t>
  </si>
  <si>
    <t>KS 17</t>
  </si>
  <si>
    <t>ND 29</t>
  </si>
  <si>
    <t>SC 41</t>
  </si>
  <si>
    <t>CO 6</t>
  </si>
  <si>
    <t>KY 18</t>
  </si>
  <si>
    <t>NE 30</t>
  </si>
  <si>
    <t>SD 42</t>
  </si>
  <si>
    <t>CT 7</t>
  </si>
  <si>
    <t>LA 19</t>
  </si>
  <si>
    <t>NH 31</t>
  </si>
  <si>
    <t>TN 43</t>
  </si>
  <si>
    <t>DC 8</t>
  </si>
  <si>
    <t>MA 20</t>
  </si>
  <si>
    <t>NJ 32</t>
  </si>
  <si>
    <t>TX 44</t>
  </si>
  <si>
    <t>DE 9</t>
  </si>
  <si>
    <t>MD 21</t>
  </si>
  <si>
    <t>NM 33</t>
  </si>
  <si>
    <t>UT 45</t>
  </si>
  <si>
    <t>FL 10</t>
  </si>
  <si>
    <t>ME 22</t>
  </si>
  <si>
    <t>NV 34</t>
  </si>
  <si>
    <t>VA 46</t>
  </si>
  <si>
    <t>GA 11</t>
  </si>
  <si>
    <t>MI 23</t>
  </si>
  <si>
    <t>NY 35</t>
  </si>
  <si>
    <t>VT 47</t>
  </si>
  <si>
    <t>HI 12</t>
  </si>
  <si>
    <t>MN 24</t>
  </si>
  <si>
    <t>OH 36</t>
  </si>
  <si>
    <t>WA 48</t>
  </si>
  <si>
    <t>Active Affiliate Institutional Data Forms</t>
  </si>
  <si>
    <t>Save and Complete next tab (Affiliates)</t>
  </si>
  <si>
    <t>Are there any clinical, field experence, or capstone field internship affiliates that are utilized for the AEMT program that are not utilized for the Paramedic program?</t>
  </si>
  <si>
    <t>Governmental education or medical service (Standard I.A.4)</t>
  </si>
  <si>
    <t>Is the program sponsor a consortium?</t>
  </si>
  <si>
    <t xml:space="preserve">                          Type of File:      Adobe Portable Document (.pdf)</t>
  </si>
  <si>
    <t>Standard I.A
Sponsoring Institution</t>
  </si>
  <si>
    <t>Sponsoring Institution Category:</t>
  </si>
  <si>
    <t>U.S. Post-secondary institution (Standard I.A.1)</t>
  </si>
  <si>
    <t>Ambulance Services</t>
  </si>
  <si>
    <t>Community College</t>
  </si>
  <si>
    <t>Outside U.S. Post-Secondary Institution (Standard I.A.2)</t>
  </si>
  <si>
    <t>Consortium</t>
  </si>
  <si>
    <t>County/Municipality</t>
  </si>
  <si>
    <t>Governmental education federal, state, local/municipal (Standard I.A.4)</t>
  </si>
  <si>
    <t>Fire Services</t>
  </si>
  <si>
    <t>Branch of the United States Armed Forces (Standard I.A.4)</t>
  </si>
  <si>
    <t>Hospital Based</t>
  </si>
  <si>
    <t>Junior College</t>
  </si>
  <si>
    <t>Military</t>
  </si>
  <si>
    <t>&lt;=== Autopopulated from question 5 
         on the Program Info tab</t>
  </si>
  <si>
    <t>N/A</t>
  </si>
  <si>
    <t>STANDARD I.  SPONSORSHIP</t>
  </si>
  <si>
    <t>STANDARD II.  PROGRAM GOALS</t>
  </si>
  <si>
    <t>STANDARD III.  RESOURCES</t>
  </si>
  <si>
    <t>&lt;=== Autopopulated from question 2 
          on the Program Info tab</t>
  </si>
  <si>
    <t>&lt;=== Autopopulated from questions 2 &amp; 9 
          on the Program Info tab</t>
  </si>
  <si>
    <t>&lt;=== Autopopulated from questions 10, 11 &amp; 12 
          on the Program Info tab</t>
  </si>
  <si>
    <t>ABHES (Accrediting Bureau of Health Education Schools)</t>
  </si>
  <si>
    <t>ACAOM (Accreditation Commission for Acupuncture and Oriental Medicine)</t>
  </si>
  <si>
    <t>ACGME (Accreditation Council for Graduate Medical Education}</t>
  </si>
  <si>
    <t>ACCSC (Accrediting Commission of Career Schools &amp; Colleges)</t>
  </si>
  <si>
    <t>ACCET (Accrediting Council for Continuing Education &amp; Training)</t>
  </si>
  <si>
    <t>ACCJC (Accrediting Commission for Community &amp; Junior College)</t>
  </si>
  <si>
    <t>ACHC (Accreditation Commission for Health Care)</t>
  </si>
  <si>
    <t>DNV (Det Norske Veritas Healthcare)</t>
  </si>
  <si>
    <t>CAAS (Commission on Accreditation of Ambulance Services</t>
  </si>
  <si>
    <t>COE (Council on Occupational Education)</t>
  </si>
  <si>
    <t>DEAC (Distance Education Accrediting Commission)</t>
  </si>
  <si>
    <t>FLDOE (Florida Dept of Ed Commission for Independent Education)</t>
  </si>
  <si>
    <t>HFAP (Healthcare Facilities Accreditation Program</t>
  </si>
  <si>
    <t>HLC (Higher Learning Commission)</t>
  </si>
  <si>
    <t>MIEMSS (Maryland Institute for EMS Systems)</t>
  </si>
  <si>
    <t>MSCHE (Middle States Commission on Higher Education)</t>
  </si>
  <si>
    <t>MSA-CESS (Middle States Association of Colleges &amp; Schools)</t>
  </si>
  <si>
    <t>NEASC (New England Association of Schools &amp; Colleges)</t>
  </si>
  <si>
    <t>NECHE (New England Commission of Higher Education)</t>
  </si>
  <si>
    <t>NWCCU (Northwest Commission on Colleges &amp; Universities)</t>
  </si>
  <si>
    <t>OK BCTE (Oklahoma Board of Career &amp; Technology Education)</t>
  </si>
  <si>
    <t>SACS (Southern Association of Colleges &amp; Schools)</t>
  </si>
  <si>
    <t>The Joint Commission</t>
  </si>
  <si>
    <t>WSCUC (WASC Senior College &amp; University Commission)</t>
  </si>
  <si>
    <t>WASC (Western Association of Schools &amp; Colleges)</t>
  </si>
  <si>
    <t>Are any of the instructional faculty the same for AEMT and Paramedic?</t>
  </si>
  <si>
    <r>
      <rPr>
        <b/>
        <sz val="16"/>
        <color theme="1"/>
        <rFont val="Arial"/>
        <family val="2"/>
      </rPr>
      <t xml:space="preserve">                                                                              TABLE 1</t>
    </r>
    <r>
      <rPr>
        <sz val="11"/>
        <color theme="1"/>
        <rFont val="Arial"/>
        <family val="2"/>
      </rPr>
      <t xml:space="preserve">
</t>
    </r>
    <r>
      <rPr>
        <b/>
        <sz val="12"/>
        <color theme="1"/>
        <rFont val="Arial"/>
        <family val="2"/>
      </rPr>
      <t xml:space="preserve">                     Provide AEMT Core Courses ONLY (Do Not Include General Education, EMT, or Paramedic Courses)</t>
    </r>
    <r>
      <rPr>
        <sz val="11"/>
        <color theme="1"/>
        <rFont val="Arial"/>
        <family val="2"/>
      </rPr>
      <t xml:space="preserve">
</t>
    </r>
    <r>
      <rPr>
        <i/>
        <sz val="11"/>
        <color theme="1"/>
        <rFont val="Arial"/>
        <family val="2"/>
      </rPr>
      <t xml:space="preserve">
Please Note:     At a minimum, a separate syllabus is recommended for each of the following program phases or components:  didactic, laboratory, clinical, field 
                         experience, and capstone field internship.  Syllabi in academic programs may be based on individual credit hour courses at the discretion of the 
                         institution.  The syllabi correspond with each course listed in the CoAEMSP Program Course Requirements table in the Self-Study Report.  Each 
                         syllabus clearly defines the expectations and responsibilities of the student required for progression and completion of the course.  At a minimum, 
                        a syllabus includes a course description, description of the prerequisite or preparatory work, objectives, methods of evaluation, topic outline
                        (as applicable), and required competencies. A schedule is not a syllabus.  </t>
    </r>
  </si>
  <si>
    <t>CAAHEP International Eligibility Review</t>
  </si>
  <si>
    <t>Paramedic Program Abridged AEMT LoR Application/LSSR</t>
  </si>
  <si>
    <t>(the 2xxxxPA LoR App number assigned by CoAEMSP)</t>
  </si>
  <si>
    <t>Paramedic Programs Seeking AEMT CoAEMSP Letter of Review (LoR)</t>
  </si>
  <si>
    <t>Abridged AEMT LoR Application/LSSR</t>
  </si>
  <si>
    <r>
      <t xml:space="preserve">All new programs follow the same pathway to enter the accreditation system which is a Letter of Review (LoR) issued by CoAEMSP.  Program should carefully read the CAAHEP Standards &amp; Guidelines, the CoAEMSP Interpretations to the Standards and Guidelines, and the CoAEMSP Policies and Procedures.  The LoR Application (electronic) must be received by the CoAEMSP, in addition, to the payment of fees for the process of seeking the CoAEMSP Letter of Review to begin.
</t>
    </r>
    <r>
      <rPr>
        <b/>
        <sz val="11"/>
        <color rgb="FF002060"/>
        <rFont val="Arial"/>
        <family val="2"/>
      </rPr>
      <t xml:space="preserve">This abridged Letter of Review (LoR) Application/Letter of Review Self Study Report (LSSR) should only be used for existing Paramedic programs adding the AEMT level. </t>
    </r>
    <r>
      <rPr>
        <sz val="11"/>
        <color rgb="FF002060"/>
        <rFont val="Arial"/>
        <family val="2"/>
      </rPr>
      <t xml:space="preserve"> The CoAEMSP will use this abridged AEMT LoR Application/LSSR along with any additional information submitted to assess the program’s degree of compliance with the Standards and Guidelines for the Accreditation of Educational Programs in the Emergency Medical Services Professions of the Commission on Accreditation of Allied Health Education Programs (CAAHEP) [www.caahep.org]. 
The Letter of Review is not a CAAHEP accreditation status, it is a status granted by the Committee on Accreditation of Educational Programs for the Emergency Medical Services Professions (CoAEMSP) signifying that a program is seeking initial accreditation from Commission on Accreditation of Allied Health Education Programs (CAAHEP) [www.caahep.org].  However, it is NOT a guarantee of eventual accreditation by CAAHEP.
</t>
    </r>
  </si>
  <si>
    <r>
      <t xml:space="preserve">
</t>
    </r>
    <r>
      <rPr>
        <b/>
        <sz val="16"/>
        <color rgb="FFC00000"/>
        <rFont val="Calibri"/>
        <family val="2"/>
        <scheme val="minor"/>
      </rPr>
      <t xml:space="preserve">The Step By Step Instructions below must be followed carefully to correctly complete the abridged AEMT LoR Application/LSSR.  Click on the link below to access the Step By Step Instructions for compiling the LoR Application. </t>
    </r>
  </si>
  <si>
    <r>
      <rPr>
        <b/>
        <u/>
        <sz val="11"/>
        <color theme="4" tint="-0.249977111117893"/>
        <rFont val="Arial"/>
        <family val="2"/>
      </rPr>
      <t>Key Points to Remember:</t>
    </r>
    <r>
      <rPr>
        <b/>
        <sz val="11"/>
        <color theme="4" tint="-0.249977111117893"/>
        <rFont val="Arial"/>
        <family val="2"/>
      </rPr>
      <t xml:space="preserve">
~ Print the Step By Step Instructions
~ Do not use a collaborative cloud-based platform (i.e., Sharepoint, Google Docs, etc.) to complete the LoR Application/LSSR
~ Save your work often as you complete the application
~ All supporting documentation must be positioned so that it does not need rotating to view
~ No paper copies or USB/CDs are accepted
~ Be sure the application is entirely complete and all supporting documentation has been place in the Application sub-folder and then, zip the ENTIRE contents and upload it to the fileshare.  DO NOT UPLOAD INDIVIDUALLY. </t>
    </r>
  </si>
  <si>
    <t>AEMT Program Website:</t>
  </si>
  <si>
    <t xml:space="preserve">                   Type of File:    Adobe Portable Document (.pdf)</t>
  </si>
  <si>
    <t>To establish key personnel or request a Personnel Verification Report, refer to the Personnel page of the CoAEMSP website.  See available link to the right ====&gt;
IMPORTANT:  The Personnel Verification Report will not be issued until all required personnel documentation has been submitted and 
                       CoAEMSP approved. The Personnel Verification Report is different than the individual approval email(s) received from the 
                       CoAEMSP.</t>
  </si>
  <si>
    <t>CoAEMSP Personnel</t>
  </si>
  <si>
    <t>Link to website  ===&gt;</t>
  </si>
  <si>
    <t>22.</t>
  </si>
  <si>
    <t>Provide the total cost of the AEMT program including all fees:</t>
  </si>
  <si>
    <t>Is the program sponsor authorized to award academic/college credit for the coursework?</t>
  </si>
  <si>
    <t>23.</t>
  </si>
  <si>
    <t>&lt;=== Autopopulated from question 3 
          on the Program Info tab</t>
  </si>
  <si>
    <t>What is the maximum cohort size (i.e., capacity)?</t>
  </si>
  <si>
    <t>Place the Personnel Verification Report received from the CoAEMSP in the Application sub-folder.  This document must be titled with the 'EXACT document name' and must be included as the type of file format listed below (not Word 97-2003 [.doc], Word 2013 [.docx], or Excel [.xls]).</t>
  </si>
  <si>
    <t>LoR Application 2025.02</t>
  </si>
  <si>
    <t>(5 or 6 digit number assigned by CoAEMSP)</t>
  </si>
  <si>
    <t>Revised 2025.02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</si>
</sst>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0"/>
    <numFmt numFmtId="166" formatCode="0.0"/>
    <numFmt numFmtId="167" formatCode="mm/yyyy"/>
    <numFmt numFmtId="168" formatCode="&quot;$&quot;#,##0.00"/>
  </numFmts>
  <fonts count="112" x14ac:knownFonts="1">
    <font>
      <sz val="11"/>
      <color theme="1"/>
      <name val="Calibri"/>
      <family val="2"/>
      <scheme val="minor"/>
    </font>
    <font>
      <b/>
      <sz val="11"/>
      <color theme="1"/>
      <name val="Calibri"/>
      <family val="2"/>
      <scheme val="minor"/>
    </font>
    <font>
      <sz val="11"/>
      <color theme="0"/>
      <name val="Calibri"/>
      <family val="2"/>
      <scheme val="minor"/>
    </font>
    <font>
      <b/>
      <sz val="14"/>
      <color theme="7" tint="-0.499984740745262"/>
      <name val="Arial"/>
      <family val="2"/>
    </font>
    <font>
      <b/>
      <sz val="11"/>
      <color theme="0" tint="-0.34998626667073579"/>
      <name val="Calibri"/>
      <family val="2"/>
      <scheme val="minor"/>
    </font>
    <font>
      <b/>
      <i/>
      <sz val="11"/>
      <color theme="0" tint="-0.34998626667073579"/>
      <name val="Calibri"/>
      <family val="2"/>
      <scheme val="minor"/>
    </font>
    <font>
      <sz val="11"/>
      <color rgb="FF7030A0"/>
      <name val="Calibri"/>
      <family val="2"/>
      <scheme val="minor"/>
    </font>
    <font>
      <b/>
      <sz val="12"/>
      <color theme="0"/>
      <name val="Calibri"/>
      <family val="2"/>
      <scheme val="minor"/>
    </font>
    <font>
      <b/>
      <sz val="12"/>
      <color rgb="FF7030A0"/>
      <name val="Calibri"/>
      <family val="2"/>
      <scheme val="minor"/>
    </font>
    <font>
      <sz val="12"/>
      <color theme="7" tint="-0.499984740745262"/>
      <name val="Arial"/>
      <family val="2"/>
    </font>
    <font>
      <b/>
      <sz val="12"/>
      <color theme="1"/>
      <name val="Calibri"/>
      <family val="2"/>
      <scheme val="minor"/>
    </font>
    <font>
      <sz val="11"/>
      <color rgb="FF0070C0"/>
      <name val="Calibri"/>
      <family val="2"/>
      <scheme val="minor"/>
    </font>
    <font>
      <sz val="12"/>
      <color theme="1"/>
      <name val="Calibri"/>
      <family val="2"/>
      <scheme val="minor"/>
    </font>
    <font>
      <sz val="11"/>
      <name val="Calibri"/>
      <family val="2"/>
      <scheme val="minor"/>
    </font>
    <font>
      <sz val="10"/>
      <name val="Arial"/>
      <family val="2"/>
    </font>
    <font>
      <b/>
      <sz val="14"/>
      <color theme="9" tint="-0.249977111117893"/>
      <name val="Calibri"/>
      <family val="2"/>
      <scheme val="minor"/>
    </font>
    <font>
      <sz val="11"/>
      <color rgb="FFC00000"/>
      <name val="Calibri"/>
      <family val="2"/>
      <scheme val="minor"/>
    </font>
    <font>
      <b/>
      <sz val="11"/>
      <color rgb="FF7030A0"/>
      <name val="Calibri"/>
      <family val="2"/>
      <scheme val="minor"/>
    </font>
    <font>
      <sz val="10"/>
      <color rgb="FFC00000"/>
      <name val="Arial"/>
      <family val="2"/>
    </font>
    <font>
      <b/>
      <sz val="9"/>
      <color indexed="81"/>
      <name val="Tahoma"/>
      <family val="2"/>
    </font>
    <font>
      <sz val="9"/>
      <color indexed="81"/>
      <name val="Tahoma"/>
      <family val="2"/>
    </font>
    <font>
      <sz val="9"/>
      <color theme="1"/>
      <name val="Arial"/>
      <family val="2"/>
    </font>
    <font>
      <b/>
      <sz val="8"/>
      <color indexed="81"/>
      <name val="Tahoma"/>
      <family val="2"/>
    </font>
    <font>
      <sz val="11"/>
      <color theme="5" tint="-0.499984740745262"/>
      <name val="Calibri"/>
      <family val="2"/>
      <scheme val="minor"/>
    </font>
    <font>
      <sz val="11"/>
      <color theme="1"/>
      <name val="Arial"/>
      <family val="2"/>
    </font>
    <font>
      <sz val="10"/>
      <color theme="1"/>
      <name val="Arial"/>
      <family val="2"/>
    </font>
    <font>
      <sz val="12"/>
      <color theme="1"/>
      <name val="Arial"/>
      <family val="2"/>
    </font>
    <font>
      <b/>
      <sz val="28"/>
      <color theme="0"/>
      <name val="Arial"/>
      <family val="2"/>
    </font>
    <font>
      <sz val="12"/>
      <name val="Arial"/>
      <family val="2"/>
    </font>
    <font>
      <b/>
      <sz val="11"/>
      <color rgb="FF008000"/>
      <name val="Arial"/>
      <family val="2"/>
    </font>
    <font>
      <b/>
      <sz val="11"/>
      <color rgb="FFC00000"/>
      <name val="Arial"/>
      <family val="2"/>
    </font>
    <font>
      <b/>
      <sz val="12"/>
      <color rgb="FF0070C0"/>
      <name val="Arial"/>
      <family val="2"/>
    </font>
    <font>
      <sz val="11"/>
      <color rgb="FF0070C0"/>
      <name val="Arial"/>
      <family val="2"/>
    </font>
    <font>
      <b/>
      <sz val="11"/>
      <color theme="1"/>
      <name val="Arial"/>
      <family val="2"/>
    </font>
    <font>
      <b/>
      <sz val="11"/>
      <color rgb="FF0070C0"/>
      <name val="Arial"/>
      <family val="2"/>
    </font>
    <font>
      <b/>
      <sz val="11"/>
      <name val="Arial"/>
      <family val="2"/>
    </font>
    <font>
      <sz val="11"/>
      <color rgb="FFC00000"/>
      <name val="Arial"/>
      <family val="2"/>
    </font>
    <font>
      <sz val="11"/>
      <name val="Arial"/>
      <family val="2"/>
    </font>
    <font>
      <b/>
      <sz val="11"/>
      <color rgb="FF7030A0"/>
      <name val="Arial"/>
      <family val="2"/>
    </font>
    <font>
      <b/>
      <sz val="12"/>
      <color theme="0"/>
      <name val="Arial"/>
      <family val="2"/>
    </font>
    <font>
      <sz val="12"/>
      <color theme="0"/>
      <name val="Arial"/>
      <family val="2"/>
    </font>
    <font>
      <sz val="11"/>
      <color rgb="FF008000"/>
      <name val="Calibri"/>
      <family val="2"/>
      <scheme val="minor"/>
    </font>
    <font>
      <b/>
      <sz val="24"/>
      <name val="Arial"/>
      <family val="2"/>
    </font>
    <font>
      <sz val="11"/>
      <color rgb="FFFF0000"/>
      <name val="Calibri"/>
      <family val="2"/>
      <scheme val="minor"/>
    </font>
    <font>
      <sz val="12"/>
      <color rgb="FF0070C0"/>
      <name val="Arial"/>
      <family val="2"/>
    </font>
    <font>
      <b/>
      <sz val="14"/>
      <color theme="0"/>
      <name val="Calibri"/>
      <family val="2"/>
      <scheme val="minor"/>
    </font>
    <font>
      <i/>
      <sz val="9"/>
      <color indexed="81"/>
      <name val="Tahoma"/>
      <family val="2"/>
    </font>
    <font>
      <b/>
      <sz val="11"/>
      <color theme="0" tint="-0.34998626667073579"/>
      <name val="Arial"/>
      <family val="2"/>
    </font>
    <font>
      <sz val="11"/>
      <color theme="6" tint="-0.499984740745262"/>
      <name val="Calibri"/>
      <family val="2"/>
      <scheme val="minor"/>
    </font>
    <font>
      <i/>
      <sz val="11"/>
      <color theme="6" tint="-0.499984740745262"/>
      <name val="Calibri"/>
      <family val="2"/>
      <scheme val="minor"/>
    </font>
    <font>
      <sz val="10"/>
      <color theme="1"/>
      <name val="Calibri"/>
      <family val="2"/>
      <scheme val="minor"/>
    </font>
    <font>
      <b/>
      <sz val="14"/>
      <color theme="5" tint="-0.249977111117893"/>
      <name val="Calibri"/>
      <family val="2"/>
      <scheme val="minor"/>
    </font>
    <font>
      <b/>
      <sz val="16"/>
      <color theme="5" tint="-0.249977111117893"/>
      <name val="Calibri"/>
      <family val="2"/>
      <scheme val="minor"/>
    </font>
    <font>
      <b/>
      <sz val="12"/>
      <color theme="1"/>
      <name val="Arial"/>
      <family val="2"/>
    </font>
    <font>
      <i/>
      <sz val="11"/>
      <color theme="1"/>
      <name val="Arial"/>
      <family val="2"/>
    </font>
    <font>
      <b/>
      <sz val="18"/>
      <color theme="1"/>
      <name val="Arial"/>
      <family val="2"/>
    </font>
    <font>
      <b/>
      <sz val="11"/>
      <color theme="0"/>
      <name val="Arial"/>
      <family val="2"/>
    </font>
    <font>
      <b/>
      <i/>
      <sz val="11"/>
      <color theme="1"/>
      <name val="Arial"/>
      <family val="2"/>
    </font>
    <font>
      <sz val="11"/>
      <color rgb="FF008000"/>
      <name val="Arial"/>
      <family val="2"/>
    </font>
    <font>
      <sz val="10"/>
      <color rgb="FFFF0000"/>
      <name val="Arial"/>
      <family val="2"/>
    </font>
    <font>
      <b/>
      <sz val="16"/>
      <color theme="1"/>
      <name val="Arial"/>
      <family val="2"/>
    </font>
    <font>
      <sz val="11"/>
      <color rgb="FFFF0000"/>
      <name val="Arial"/>
      <family val="2"/>
    </font>
    <font>
      <b/>
      <sz val="16"/>
      <color theme="5" tint="-0.249977111117893"/>
      <name val="Arial"/>
      <family val="2"/>
    </font>
    <font>
      <b/>
      <sz val="14"/>
      <color theme="5" tint="-0.249977111117893"/>
      <name val="Arial"/>
      <family val="2"/>
    </font>
    <font>
      <b/>
      <sz val="16"/>
      <name val="Arial"/>
      <family val="2"/>
    </font>
    <font>
      <b/>
      <sz val="10"/>
      <color theme="1"/>
      <name val="Arial"/>
      <family val="2"/>
    </font>
    <font>
      <b/>
      <sz val="11"/>
      <color rgb="FFC65911"/>
      <name val="Calibri"/>
      <family val="2"/>
      <scheme val="minor"/>
    </font>
    <font>
      <b/>
      <sz val="14"/>
      <color theme="7" tint="-0.249977111117893"/>
      <name val="Arial"/>
      <family val="2"/>
    </font>
    <font>
      <b/>
      <sz val="10"/>
      <color rgb="FFC00000"/>
      <name val="Arial"/>
      <family val="2"/>
    </font>
    <font>
      <sz val="11"/>
      <color theme="0"/>
      <name val="Arial"/>
      <family val="2"/>
    </font>
    <font>
      <b/>
      <sz val="14"/>
      <color theme="0"/>
      <name val="Arial"/>
      <family val="2"/>
    </font>
    <font>
      <sz val="11"/>
      <color rgb="FF7030A0"/>
      <name val="Arial"/>
      <family val="2"/>
    </font>
    <font>
      <b/>
      <sz val="14"/>
      <color theme="9" tint="-0.249977111117893"/>
      <name val="Arial"/>
      <family val="2"/>
    </font>
    <font>
      <b/>
      <sz val="11"/>
      <color rgb="FFC00000"/>
      <name val="Calibri"/>
      <family val="2"/>
      <scheme val="minor"/>
    </font>
    <font>
      <b/>
      <sz val="12"/>
      <color rgb="FFC65911"/>
      <name val="Arial"/>
      <family val="2"/>
    </font>
    <font>
      <b/>
      <sz val="10"/>
      <color rgb="FF7030A0"/>
      <name val="Arial"/>
      <family val="2"/>
    </font>
    <font>
      <b/>
      <sz val="12"/>
      <color rgb="FF7030A0"/>
      <name val="Arial"/>
      <family val="2"/>
    </font>
    <font>
      <sz val="14"/>
      <color rgb="FF003080"/>
      <name val="Arial"/>
      <family val="2"/>
    </font>
    <font>
      <sz val="11"/>
      <color rgb="FF002060"/>
      <name val="Calibri"/>
      <family val="2"/>
      <scheme val="minor"/>
    </font>
    <font>
      <b/>
      <sz val="36"/>
      <color rgb="FF002060"/>
      <name val="Arial"/>
      <family val="2"/>
    </font>
    <font>
      <b/>
      <sz val="24"/>
      <color rgb="FF002060"/>
      <name val="Arial"/>
      <family val="2"/>
    </font>
    <font>
      <b/>
      <i/>
      <sz val="24"/>
      <color rgb="FF002060"/>
      <name val="Arial"/>
      <family val="2"/>
    </font>
    <font>
      <sz val="10"/>
      <color rgb="FF7F7F7F"/>
      <name val="Arial"/>
      <family val="2"/>
    </font>
    <font>
      <b/>
      <sz val="12"/>
      <color rgb="FF984806"/>
      <name val="Arial"/>
      <family val="2"/>
    </font>
    <font>
      <b/>
      <sz val="22"/>
      <color theme="0"/>
      <name val="Calibri"/>
      <family val="2"/>
      <scheme val="minor"/>
    </font>
    <font>
      <sz val="11"/>
      <color rgb="FF002060"/>
      <name val="Arial"/>
      <family val="2"/>
    </font>
    <font>
      <sz val="11"/>
      <color rgb="FF984806"/>
      <name val="Arial"/>
      <family val="2"/>
    </font>
    <font>
      <b/>
      <u/>
      <sz val="11"/>
      <color rgb="FF002060"/>
      <name val="Arial"/>
      <family val="2"/>
    </font>
    <font>
      <b/>
      <sz val="16"/>
      <color rgb="FFC00000"/>
      <name val="Calibri"/>
      <family val="2"/>
      <scheme val="minor"/>
    </font>
    <font>
      <b/>
      <sz val="11"/>
      <color theme="4" tint="-0.249977111117893"/>
      <name val="Arial"/>
      <family val="2"/>
    </font>
    <font>
      <b/>
      <u/>
      <sz val="11"/>
      <color theme="4" tint="-0.249977111117893"/>
      <name val="Arial"/>
      <family val="2"/>
    </font>
    <font>
      <sz val="11"/>
      <color theme="5" tint="-0.499984740745262"/>
      <name val="Arial"/>
      <family val="2"/>
    </font>
    <font>
      <u/>
      <sz val="11"/>
      <color theme="10"/>
      <name val="Arial"/>
      <family val="2"/>
    </font>
    <font>
      <sz val="9"/>
      <color rgb="FF984806"/>
      <name val="Arial"/>
      <family val="2"/>
    </font>
    <font>
      <sz val="11"/>
      <color theme="0" tint="-0.499984740745262"/>
      <name val="Calibri"/>
      <family val="2"/>
      <scheme val="minor"/>
    </font>
    <font>
      <b/>
      <sz val="11"/>
      <color rgb="FF002060"/>
      <name val="Arial"/>
      <family val="2"/>
    </font>
    <font>
      <sz val="11"/>
      <color theme="1"/>
      <name val="Calibri"/>
      <family val="2"/>
      <scheme val="minor"/>
    </font>
    <font>
      <b/>
      <sz val="11"/>
      <color theme="0" tint="-0.499984740745262"/>
      <name val="Arial"/>
      <family val="2"/>
    </font>
    <font>
      <i/>
      <sz val="11"/>
      <color theme="6" tint="-0.499984740745262"/>
      <name val="Arial"/>
      <family val="2"/>
    </font>
    <font>
      <b/>
      <sz val="10"/>
      <name val="Arial"/>
      <family val="2"/>
    </font>
    <font>
      <sz val="11"/>
      <color theme="6" tint="-0.499984740745262"/>
      <name val="Arial"/>
      <family val="2"/>
    </font>
    <font>
      <sz val="11"/>
      <color theme="1" tint="0.499984740745262"/>
      <name val="Arial"/>
      <family val="2"/>
    </font>
    <font>
      <b/>
      <sz val="12"/>
      <color theme="5" tint="-0.249977111117893"/>
      <name val="Arial"/>
      <family val="2"/>
    </font>
    <font>
      <b/>
      <sz val="14"/>
      <color rgb="FF0070C0"/>
      <name val="Arial"/>
      <family val="2"/>
    </font>
    <font>
      <sz val="12"/>
      <name val="Calibri"/>
      <family val="2"/>
      <scheme val="minor"/>
    </font>
    <font>
      <sz val="11"/>
      <color theme="5" tint="-0.249977111117893"/>
      <name val="Arial"/>
      <family val="2"/>
    </font>
    <font>
      <sz val="10"/>
      <color theme="5" tint="-0.499984740745262"/>
      <name val="Arial"/>
      <family val="2"/>
    </font>
    <font>
      <i/>
      <sz val="11"/>
      <name val="Arial"/>
      <family val="2"/>
    </font>
    <font>
      <i/>
      <sz val="11"/>
      <color rgb="FF0070C0"/>
      <name val="Arial"/>
      <family val="2"/>
    </font>
    <font>
      <b/>
      <sz val="14"/>
      <color theme="1"/>
      <name val="Arial"/>
      <family val="2"/>
    </font>
    <font>
      <b/>
      <sz val="14"/>
      <color rgb="FFFF0000"/>
      <name val="Arial"/>
      <family val="2"/>
    </font>
    <font>
      <b/>
      <sz val="36"/>
      <color theme="0"/>
      <name val="Arial"/>
      <family val="2"/>
    </font>
  </fonts>
  <fills count="2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EFF6FB"/>
        <bgColor indexed="64"/>
      </patternFill>
    </fill>
    <fill>
      <patternFill patternType="solid">
        <fgColor rgb="FF1E284E"/>
        <bgColor indexed="64"/>
      </patternFill>
    </fill>
    <fill>
      <patternFill patternType="solid">
        <fgColor rgb="FFFCE4D6"/>
        <bgColor indexed="64"/>
      </patternFill>
    </fill>
    <fill>
      <patternFill patternType="solid">
        <fgColor theme="0" tint="-0.14999847407452621"/>
        <bgColor indexed="64"/>
      </patternFill>
    </fill>
    <fill>
      <patternFill patternType="solid">
        <fgColor rgb="FFFCE5D8"/>
        <bgColor indexed="64"/>
      </patternFill>
    </fill>
    <fill>
      <patternFill patternType="solid">
        <fgColor rgb="FF0070C0"/>
        <bgColor indexed="64"/>
      </patternFill>
    </fill>
    <fill>
      <patternFill patternType="solid">
        <fgColor rgb="FFC65911"/>
        <bgColor indexed="64"/>
      </patternFill>
    </fill>
    <fill>
      <patternFill patternType="solid">
        <fgColor rgb="FFFBE0CD"/>
        <bgColor indexed="64"/>
      </patternFill>
    </fill>
    <fill>
      <patternFill patternType="solid">
        <fgColor rgb="FFDDEBF7"/>
        <bgColor indexed="64"/>
      </patternFill>
    </fill>
    <fill>
      <patternFill patternType="solid">
        <fgColor theme="8" tint="0.79998168889431442"/>
        <bgColor indexed="64"/>
      </patternFill>
    </fill>
    <fill>
      <patternFill patternType="solid">
        <fgColor theme="5"/>
        <bgColor indexed="64"/>
      </patternFill>
    </fill>
    <fill>
      <patternFill patternType="solid">
        <fgColor theme="3" tint="-0.249977111117893"/>
        <bgColor indexed="64"/>
      </patternFill>
    </fill>
    <fill>
      <patternFill patternType="solid">
        <fgColor rgb="FFECF5E7"/>
        <bgColor indexed="64"/>
      </patternFill>
    </fill>
    <fill>
      <patternFill patternType="solid">
        <fgColor rgb="FFEFF6EA"/>
        <bgColor indexed="64"/>
      </patternFill>
    </fill>
    <fill>
      <patternFill patternType="solid">
        <fgColor rgb="FFFCE7DC"/>
        <bgColor indexed="64"/>
      </patternFill>
    </fill>
    <fill>
      <patternFill patternType="solid">
        <fgColor rgb="FFFEDD79"/>
        <bgColor indexed="64"/>
      </patternFill>
    </fill>
    <fill>
      <patternFill patternType="solid">
        <fgColor rgb="FF76B7DF"/>
        <bgColor indexed="64"/>
      </patternFill>
    </fill>
    <fill>
      <patternFill patternType="solid">
        <fgColor rgb="FFF3C8CA"/>
        <bgColor indexed="64"/>
      </patternFill>
    </fill>
    <fill>
      <patternFill patternType="solid">
        <fgColor rgb="FF1D274D"/>
        <bgColor indexed="64"/>
      </patternFill>
    </fill>
    <fill>
      <patternFill patternType="solid">
        <fgColor rgb="FFC9E2F2"/>
        <bgColor indexed="64"/>
      </patternFill>
    </fill>
    <fill>
      <patternFill patternType="solid">
        <fgColor rgb="FF4580BE"/>
        <bgColor indexed="64"/>
      </patternFill>
    </fill>
  </fills>
  <borders count="10">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7" fillId="0" borderId="0" applyNumberFormat="0" applyFill="0" applyBorder="0" applyAlignment="0" applyProtection="0"/>
    <xf numFmtId="0" fontId="96" fillId="0" borderId="0"/>
  </cellStyleXfs>
  <cellXfs count="432">
    <xf numFmtId="0" fontId="0" fillId="0" borderId="0" xfId="0"/>
    <xf numFmtId="0" fontId="3" fillId="0" borderId="0" xfId="0" applyFont="1"/>
    <xf numFmtId="0" fontId="4" fillId="0" borderId="0" xfId="0" applyFont="1"/>
    <xf numFmtId="0" fontId="5" fillId="0" borderId="0" xfId="0" applyFont="1"/>
    <xf numFmtId="0" fontId="9" fillId="0" borderId="0" xfId="0" applyFont="1"/>
    <xf numFmtId="0" fontId="0" fillId="0" borderId="0" xfId="0" applyAlignment="1">
      <alignment vertical="top"/>
    </xf>
    <xf numFmtId="0" fontId="0" fillId="0" borderId="0" xfId="0" quotePrefix="1"/>
    <xf numFmtId="0" fontId="11"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xf>
    <xf numFmtId="0" fontId="2" fillId="0" borderId="0" xfId="0" applyFont="1"/>
    <xf numFmtId="0" fontId="10" fillId="0" borderId="0" xfId="0" applyFont="1" applyAlignment="1">
      <alignment vertical="center" wrapText="1"/>
    </xf>
    <xf numFmtId="0" fontId="16" fillId="0" borderId="0" xfId="0" applyFont="1"/>
    <xf numFmtId="0" fontId="18" fillId="0" borderId="0" xfId="0" applyFont="1" applyAlignment="1">
      <alignment horizontal="left" indent="2"/>
    </xf>
    <xf numFmtId="0" fontId="12" fillId="0" borderId="0" xfId="0" applyFont="1"/>
    <xf numFmtId="0" fontId="1" fillId="0" borderId="0" xfId="0" applyFont="1"/>
    <xf numFmtId="0" fontId="23" fillId="0" borderId="0" xfId="0" applyFont="1"/>
    <xf numFmtId="0" fontId="17" fillId="0" borderId="0" xfId="0" applyFont="1" applyAlignment="1">
      <alignment vertical="top"/>
    </xf>
    <xf numFmtId="0" fontId="8" fillId="0" borderId="0" xfId="1" applyFont="1" applyAlignment="1" applyProtection="1">
      <alignment horizontal="center" vertical="center" wrapText="1"/>
    </xf>
    <xf numFmtId="0" fontId="6" fillId="0" borderId="0" xfId="0" applyFont="1" applyAlignment="1">
      <alignment horizontal="center" vertical="center" wrapText="1"/>
    </xf>
    <xf numFmtId="0" fontId="10" fillId="0" borderId="0" xfId="0" applyFont="1" applyAlignment="1">
      <alignment wrapText="1"/>
    </xf>
    <xf numFmtId="0" fontId="13" fillId="0" borderId="0" xfId="0" applyFont="1" applyAlignment="1">
      <alignment vertical="center"/>
    </xf>
    <xf numFmtId="0" fontId="0" fillId="0" borderId="0" xfId="0" applyAlignment="1">
      <alignment horizontal="right"/>
    </xf>
    <xf numFmtId="0" fontId="0" fillId="0" borderId="0" xfId="0" applyAlignment="1">
      <alignment horizontal="right" vertical="center"/>
    </xf>
    <xf numFmtId="0" fontId="14" fillId="0" borderId="2" xfId="0" applyFont="1" applyBorder="1" applyAlignment="1" applyProtection="1">
      <alignment horizontal="left" vertical="center" wrapText="1" indent="1"/>
      <protection locked="0"/>
    </xf>
    <xf numFmtId="0" fontId="26" fillId="0" borderId="0" xfId="0" applyFont="1" applyAlignment="1">
      <alignment horizontal="right" vertical="center"/>
    </xf>
    <xf numFmtId="0" fontId="26" fillId="0" borderId="0" xfId="0" applyFont="1" applyAlignment="1">
      <alignment horizontal="right"/>
    </xf>
    <xf numFmtId="0" fontId="33" fillId="0" borderId="0" xfId="0" quotePrefix="1" applyFont="1" applyAlignment="1">
      <alignment horizontal="center" vertical="center"/>
    </xf>
    <xf numFmtId="0" fontId="24" fillId="0" borderId="0" xfId="0" applyFont="1"/>
    <xf numFmtId="0" fontId="24" fillId="0" borderId="0" xfId="0" quotePrefix="1" applyFont="1"/>
    <xf numFmtId="0" fontId="33" fillId="0" borderId="0" xfId="0" quotePrefix="1" applyFont="1" applyAlignment="1">
      <alignment horizontal="center" vertical="top"/>
    </xf>
    <xf numFmtId="0" fontId="24" fillId="0" borderId="0" xfId="0" quotePrefix="1" applyFont="1" applyAlignment="1">
      <alignment vertical="center"/>
    </xf>
    <xf numFmtId="0" fontId="41" fillId="0" borderId="0" xfId="0" applyFont="1" applyAlignment="1">
      <alignment vertical="center"/>
    </xf>
    <xf numFmtId="0" fontId="31" fillId="6" borderId="2" xfId="0" applyFont="1" applyFill="1" applyBorder="1" applyAlignment="1" applyProtection="1">
      <alignment horizontal="center" vertical="center"/>
      <protection locked="0"/>
    </xf>
    <xf numFmtId="0" fontId="32" fillId="6" borderId="2" xfId="0" applyFont="1" applyFill="1" applyBorder="1" applyProtection="1">
      <protection locked="0"/>
    </xf>
    <xf numFmtId="0" fontId="32" fillId="6" borderId="2" xfId="0" applyFont="1" applyFill="1" applyBorder="1" applyAlignment="1" applyProtection="1">
      <alignment horizontal="center"/>
      <protection locked="0"/>
    </xf>
    <xf numFmtId="164" fontId="32" fillId="6" borderId="2" xfId="0" applyNumberFormat="1" applyFont="1" applyFill="1" applyBorder="1" applyAlignment="1" applyProtection="1">
      <alignment horizontal="center"/>
      <protection locked="0"/>
    </xf>
    <xf numFmtId="0" fontId="24" fillId="0" borderId="0" xfId="0" quotePrefix="1" applyFont="1" applyAlignment="1">
      <alignment vertical="top"/>
    </xf>
    <xf numFmtId="0" fontId="3" fillId="7" borderId="0" xfId="0" applyFont="1" applyFill="1" applyAlignment="1">
      <alignment vertical="center"/>
    </xf>
    <xf numFmtId="0" fontId="0" fillId="7" borderId="0" xfId="0" applyFill="1" applyAlignment="1">
      <alignment vertical="center"/>
    </xf>
    <xf numFmtId="0" fontId="34" fillId="6" borderId="0" xfId="0" applyFont="1" applyFill="1" applyAlignment="1" applyProtection="1">
      <alignment horizontal="center" vertical="center" wrapText="1"/>
      <protection locked="0"/>
    </xf>
    <xf numFmtId="0" fontId="26" fillId="0" borderId="0" xfId="0" applyFont="1" applyAlignment="1">
      <alignment horizontal="left" vertical="center" wrapText="1"/>
    </xf>
    <xf numFmtId="0" fontId="32" fillId="0" borderId="0" xfId="0" applyFont="1" applyProtection="1">
      <protection locked="0"/>
    </xf>
    <xf numFmtId="0" fontId="32" fillId="0" borderId="0" xfId="0" applyFont="1" applyAlignment="1" applyProtection="1">
      <alignment horizontal="center"/>
      <protection locked="0"/>
    </xf>
    <xf numFmtId="164" fontId="32" fillId="0" borderId="0" xfId="0" applyNumberFormat="1" applyFont="1" applyAlignment="1" applyProtection="1">
      <alignment horizontal="center"/>
      <protection locked="0"/>
    </xf>
    <xf numFmtId="0" fontId="43" fillId="0" borderId="0" xfId="0" applyFont="1"/>
    <xf numFmtId="0" fontId="21" fillId="0" borderId="0" xfId="0" applyFont="1" applyAlignment="1">
      <alignment vertical="center"/>
    </xf>
    <xf numFmtId="0" fontId="25" fillId="0" borderId="1" xfId="0" applyFont="1" applyBorder="1" applyAlignment="1">
      <alignment vertical="center" wrapText="1"/>
    </xf>
    <xf numFmtId="0" fontId="34" fillId="0" borderId="0" xfId="0" applyFont="1" applyAlignment="1" applyProtection="1">
      <alignment horizontal="center" vertical="center" wrapText="1"/>
      <protection locked="0"/>
    </xf>
    <xf numFmtId="0" fontId="26" fillId="0" borderId="0" xfId="0" applyFont="1" applyAlignment="1">
      <alignment vertical="center"/>
    </xf>
    <xf numFmtId="0" fontId="31" fillId="6" borderId="2" xfId="0" applyFont="1" applyFill="1" applyBorder="1" applyAlignment="1" applyProtection="1">
      <alignment horizontal="center" vertical="center" wrapText="1"/>
      <protection locked="0"/>
    </xf>
    <xf numFmtId="0" fontId="26" fillId="0" borderId="0" xfId="0" applyFont="1" applyAlignment="1">
      <alignment horizontal="left" indent="1"/>
    </xf>
    <xf numFmtId="0" fontId="26" fillId="0" borderId="0" xfId="0" applyFont="1"/>
    <xf numFmtId="0" fontId="44" fillId="8" borderId="2" xfId="0" applyFont="1" applyFill="1" applyBorder="1" applyAlignment="1" applyProtection="1">
      <alignment horizontal="center" vertical="center" wrapText="1"/>
      <protection locked="0"/>
    </xf>
    <xf numFmtId="0" fontId="44" fillId="8" borderId="2" xfId="0" applyFont="1" applyFill="1" applyBorder="1" applyAlignment="1" applyProtection="1">
      <alignment horizontal="center" vertical="center"/>
      <protection locked="0"/>
    </xf>
    <xf numFmtId="0" fontId="11" fillId="2" borderId="0" xfId="0" applyFont="1" applyFill="1" applyAlignment="1">
      <alignment vertical="center"/>
    </xf>
    <xf numFmtId="0" fontId="47" fillId="0" borderId="0" xfId="0" applyFont="1"/>
    <xf numFmtId="0" fontId="48" fillId="0" borderId="0" xfId="0" applyFont="1"/>
    <xf numFmtId="0" fontId="25" fillId="0" borderId="0" xfId="0" applyFont="1"/>
    <xf numFmtId="0" fontId="41" fillId="0" borderId="0" xfId="0" applyFont="1"/>
    <xf numFmtId="0" fontId="3" fillId="0" borderId="0" xfId="0" applyFont="1" applyAlignment="1">
      <alignment vertical="center"/>
    </xf>
    <xf numFmtId="0" fontId="51" fillId="2" borderId="0" xfId="0" applyFont="1" applyFill="1" applyAlignment="1">
      <alignment horizontal="left"/>
    </xf>
    <xf numFmtId="0" fontId="48" fillId="2" borderId="0" xfId="0" applyFont="1" applyFill="1"/>
    <xf numFmtId="0" fontId="0" fillId="2" borderId="0" xfId="0" applyFill="1"/>
    <xf numFmtId="0" fontId="50" fillId="0" borderId="0" xfId="0" applyFont="1"/>
    <xf numFmtId="0" fontId="43" fillId="2" borderId="0" xfId="0" applyFont="1" applyFill="1" applyAlignment="1">
      <alignment horizontal="center" wrapText="1"/>
    </xf>
    <xf numFmtId="0" fontId="52" fillId="2" borderId="0" xfId="0" applyFont="1" applyFill="1" applyAlignment="1">
      <alignment horizontal="right" vertical="center" wrapText="1"/>
    </xf>
    <xf numFmtId="0" fontId="51" fillId="2" borderId="0" xfId="0" applyFont="1" applyFill="1" applyAlignment="1">
      <alignment horizontal="center" vertical="center" wrapText="1"/>
    </xf>
    <xf numFmtId="0" fontId="0" fillId="2" borderId="0" xfId="0" applyFill="1" applyAlignment="1">
      <alignment horizontal="center" wrapText="1"/>
    </xf>
    <xf numFmtId="0" fontId="51" fillId="2" borderId="0" xfId="0" applyFont="1" applyFill="1" applyAlignment="1">
      <alignment horizontal="center" vertical="center"/>
    </xf>
    <xf numFmtId="0" fontId="1" fillId="0" borderId="0" xfId="0" applyFont="1" applyAlignment="1">
      <alignment vertical="center"/>
    </xf>
    <xf numFmtId="0" fontId="56" fillId="9" borderId="0" xfId="0" applyFont="1" applyFill="1" applyAlignment="1">
      <alignment horizontal="center" vertical="center" wrapText="1"/>
    </xf>
    <xf numFmtId="0" fontId="31" fillId="11" borderId="2" xfId="0" applyFont="1" applyFill="1" applyBorder="1" applyAlignment="1" applyProtection="1">
      <alignment horizontal="center" vertical="center"/>
      <protection locked="0"/>
    </xf>
    <xf numFmtId="0" fontId="32" fillId="8" borderId="2" xfId="0" applyFont="1" applyFill="1" applyBorder="1" applyAlignment="1" applyProtection="1">
      <alignment horizontal="center" vertical="center"/>
      <protection locked="0"/>
    </xf>
    <xf numFmtId="0" fontId="58" fillId="0" borderId="0" xfId="0" applyFont="1" applyAlignment="1">
      <alignment vertical="center"/>
    </xf>
    <xf numFmtId="0" fontId="32" fillId="11" borderId="2" xfId="0" applyFont="1" applyFill="1" applyBorder="1" applyAlignment="1" applyProtection="1">
      <alignment horizontal="center" vertical="center"/>
      <protection locked="0"/>
    </xf>
    <xf numFmtId="0" fontId="37" fillId="0" borderId="0" xfId="0" applyFont="1" applyAlignment="1">
      <alignment wrapText="1"/>
    </xf>
    <xf numFmtId="0" fontId="36" fillId="2" borderId="0" xfId="0" applyFont="1" applyFill="1"/>
    <xf numFmtId="0" fontId="37" fillId="0" borderId="0" xfId="0" applyFont="1"/>
    <xf numFmtId="0" fontId="36" fillId="2" borderId="0" xfId="0" applyFont="1" applyFill="1" applyAlignment="1">
      <alignment wrapText="1"/>
    </xf>
    <xf numFmtId="0" fontId="30" fillId="2" borderId="0" xfId="0" applyFont="1" applyFill="1" applyAlignment="1">
      <alignment horizontal="left"/>
    </xf>
    <xf numFmtId="0" fontId="63" fillId="12" borderId="2" xfId="0" applyFont="1" applyFill="1" applyBorder="1" applyAlignment="1">
      <alignment horizontal="center" vertical="center" wrapText="1"/>
    </xf>
    <xf numFmtId="0" fontId="24" fillId="0" borderId="0" xfId="0" applyFont="1" applyAlignment="1">
      <alignment horizontal="center" vertical="center"/>
    </xf>
    <xf numFmtId="0" fontId="63" fillId="3" borderId="2" xfId="0" applyFont="1" applyFill="1" applyBorder="1" applyAlignment="1">
      <alignment horizontal="center" vertical="center"/>
    </xf>
    <xf numFmtId="0" fontId="60" fillId="12" borderId="2" xfId="0" applyFont="1" applyFill="1" applyBorder="1" applyAlignment="1">
      <alignment horizontal="center" vertical="center"/>
    </xf>
    <xf numFmtId="0" fontId="65" fillId="4" borderId="8" xfId="0" applyFont="1" applyFill="1" applyBorder="1" applyAlignment="1">
      <alignment horizontal="center" vertical="center" wrapText="1"/>
    </xf>
    <xf numFmtId="0" fontId="65" fillId="4" borderId="8" xfId="0" applyFont="1" applyFill="1" applyBorder="1" applyAlignment="1">
      <alignment horizontal="center" wrapText="1"/>
    </xf>
    <xf numFmtId="0" fontId="33" fillId="4" borderId="2" xfId="0" applyFont="1" applyFill="1" applyBorder="1" applyAlignment="1">
      <alignment horizontal="center" vertical="center" wrapText="1"/>
    </xf>
    <xf numFmtId="0" fontId="32" fillId="11" borderId="2" xfId="0" applyFont="1" applyFill="1" applyBorder="1" applyProtection="1">
      <protection locked="0"/>
    </xf>
    <xf numFmtId="0" fontId="24" fillId="0" borderId="0" xfId="0" applyFont="1" applyAlignment="1">
      <alignment vertical="top"/>
    </xf>
    <xf numFmtId="0" fontId="33" fillId="0" borderId="0" xfId="0" quotePrefix="1" applyFont="1" applyAlignment="1">
      <alignment horizontal="center" vertical="top" wrapText="1"/>
    </xf>
    <xf numFmtId="0" fontId="33" fillId="0" borderId="0" xfId="0" quotePrefix="1" applyFont="1" applyAlignment="1">
      <alignment horizontal="center" vertical="center" wrapText="1"/>
    </xf>
    <xf numFmtId="0" fontId="0" fillId="0" borderId="0" xfId="0" applyAlignment="1">
      <alignment horizontal="left" vertical="center"/>
    </xf>
    <xf numFmtId="165" fontId="32" fillId="4" borderId="2" xfId="0" applyNumberFormat="1" applyFont="1" applyFill="1" applyBorder="1" applyAlignment="1">
      <alignment horizontal="center" vertical="center"/>
    </xf>
    <xf numFmtId="0" fontId="62" fillId="12" borderId="3" xfId="0" applyFont="1" applyFill="1" applyBorder="1" applyAlignment="1">
      <alignment horizontal="right" vertical="center" wrapText="1"/>
    </xf>
    <xf numFmtId="0" fontId="62" fillId="12" borderId="4" xfId="0" applyFont="1" applyFill="1" applyBorder="1" applyAlignment="1">
      <alignment horizontal="right" vertical="center" wrapText="1"/>
    </xf>
    <xf numFmtId="0" fontId="62" fillId="12" borderId="5" xfId="0" applyFont="1" applyFill="1" applyBorder="1" applyAlignment="1">
      <alignment horizontal="right" vertical="center" wrapText="1"/>
    </xf>
    <xf numFmtId="0" fontId="25" fillId="4" borderId="8" xfId="0" applyFont="1" applyFill="1" applyBorder="1" applyAlignment="1">
      <alignment horizontal="center" wrapText="1"/>
    </xf>
    <xf numFmtId="0" fontId="49" fillId="0" borderId="0" xfId="0" applyFont="1"/>
    <xf numFmtId="0" fontId="67" fillId="0" borderId="0" xfId="0" applyFont="1"/>
    <xf numFmtId="0" fontId="45" fillId="0" borderId="0" xfId="0" applyFont="1" applyAlignment="1">
      <alignment vertical="top"/>
    </xf>
    <xf numFmtId="0" fontId="32" fillId="2" borderId="0" xfId="0" applyFont="1" applyFill="1" applyAlignment="1" applyProtection="1">
      <alignment horizontal="center" vertical="center"/>
      <protection locked="0"/>
    </xf>
    <xf numFmtId="0" fontId="36" fillId="0" borderId="0" xfId="0" applyFont="1"/>
    <xf numFmtId="0" fontId="24" fillId="0" borderId="0" xfId="0" applyFont="1" applyAlignment="1">
      <alignment horizontal="right" vertical="center"/>
    </xf>
    <xf numFmtId="166" fontId="32" fillId="0" borderId="0" xfId="0" applyNumberFormat="1" applyFont="1" applyAlignment="1" applyProtection="1">
      <alignment horizontal="center" vertical="center"/>
      <protection locked="0"/>
    </xf>
    <xf numFmtId="0" fontId="9" fillId="0" borderId="0" xfId="0" applyFont="1" applyAlignment="1">
      <alignment horizontal="center"/>
    </xf>
    <xf numFmtId="0" fontId="35" fillId="0" borderId="0" xfId="0" applyFont="1" applyAlignment="1">
      <alignment vertical="center" wrapText="1"/>
    </xf>
    <xf numFmtId="0" fontId="26" fillId="0" borderId="0" xfId="0" applyFont="1" applyAlignment="1">
      <alignment vertical="center" wrapText="1"/>
    </xf>
    <xf numFmtId="0" fontId="28" fillId="0" borderId="0" xfId="0" applyFont="1" applyAlignment="1">
      <alignment horizontal="right" vertical="center"/>
    </xf>
    <xf numFmtId="0" fontId="6" fillId="0" borderId="0" xfId="0" applyFont="1"/>
    <xf numFmtId="0" fontId="53" fillId="0" borderId="0" xfId="0" quotePrefix="1" applyFont="1" applyAlignment="1">
      <alignment horizontal="center" vertical="center"/>
    </xf>
    <xf numFmtId="0" fontId="58" fillId="0" borderId="0" xfId="0" applyFont="1" applyAlignment="1">
      <alignment vertical="top"/>
    </xf>
    <xf numFmtId="0" fontId="24" fillId="0" borderId="0" xfId="0" applyFont="1" applyAlignment="1">
      <alignment horizontal="center"/>
    </xf>
    <xf numFmtId="0" fontId="69" fillId="0" borderId="0" xfId="0" applyFont="1"/>
    <xf numFmtId="0" fontId="70" fillId="0" borderId="0" xfId="0" applyFont="1" applyAlignment="1">
      <alignment vertical="top"/>
    </xf>
    <xf numFmtId="0" fontId="53" fillId="0" borderId="0" xfId="0" quotePrefix="1" applyFont="1" applyAlignment="1">
      <alignment horizontal="center" vertical="top" wrapText="1"/>
    </xf>
    <xf numFmtId="0" fontId="24" fillId="2" borderId="0" xfId="0" applyFont="1" applyFill="1"/>
    <xf numFmtId="0" fontId="36" fillId="0" borderId="0" xfId="0" applyFont="1" applyAlignment="1">
      <alignment vertical="top"/>
    </xf>
    <xf numFmtId="0" fontId="30" fillId="2" borderId="0" xfId="0" applyFont="1" applyFill="1" applyAlignment="1">
      <alignment vertical="top" wrapText="1"/>
    </xf>
    <xf numFmtId="0" fontId="69" fillId="0" borderId="0" xfId="0" applyFont="1" applyAlignment="1">
      <alignment horizontal="center" vertical="center"/>
    </xf>
    <xf numFmtId="0" fontId="24" fillId="0" borderId="0" xfId="0" applyFont="1" applyAlignment="1">
      <alignment horizontal="right"/>
    </xf>
    <xf numFmtId="0" fontId="24" fillId="0" borderId="0" xfId="0" applyFont="1" applyAlignment="1">
      <alignment vertical="center"/>
    </xf>
    <xf numFmtId="0" fontId="24" fillId="0" borderId="0" xfId="0" applyFont="1" applyAlignment="1">
      <alignment horizontal="right" vertical="center" wrapText="1"/>
    </xf>
    <xf numFmtId="0" fontId="24" fillId="0" borderId="0" xfId="0" applyFont="1" applyAlignment="1">
      <alignment horizontal="right" vertical="top"/>
    </xf>
    <xf numFmtId="0" fontId="32" fillId="0" borderId="0" xfId="0" applyFont="1" applyAlignment="1" applyProtection="1">
      <alignment horizontal="left" vertical="center" wrapText="1"/>
      <protection locked="0"/>
    </xf>
    <xf numFmtId="0" fontId="32" fillId="0" borderId="0" xfId="0" applyFont="1" applyAlignment="1" applyProtection="1">
      <alignment horizontal="center" vertical="center" wrapText="1"/>
      <protection locked="0"/>
    </xf>
    <xf numFmtId="0" fontId="32" fillId="0" borderId="0" xfId="0" applyFont="1" applyAlignment="1" applyProtection="1">
      <alignment horizontal="center" vertical="center"/>
      <protection locked="0"/>
    </xf>
    <xf numFmtId="0" fontId="32" fillId="0" borderId="0" xfId="0" applyFont="1" applyAlignment="1" applyProtection="1">
      <alignment vertical="center"/>
      <protection locked="0"/>
    </xf>
    <xf numFmtId="0" fontId="24" fillId="0" borderId="0" xfId="0" applyFont="1" applyAlignment="1">
      <alignment horizontal="center" vertical="top"/>
    </xf>
    <xf numFmtId="0" fontId="78" fillId="0" borderId="0" xfId="0" applyFont="1"/>
    <xf numFmtId="0" fontId="87" fillId="0" borderId="0" xfId="0" applyFont="1"/>
    <xf numFmtId="0" fontId="91" fillId="16" borderId="2" xfId="0" applyFont="1" applyFill="1" applyBorder="1"/>
    <xf numFmtId="0" fontId="92" fillId="16" borderId="2" xfId="1" applyFont="1" applyFill="1" applyBorder="1" applyProtection="1">
      <protection locked="0"/>
    </xf>
    <xf numFmtId="0" fontId="85" fillId="0" borderId="0" xfId="0" applyFont="1"/>
    <xf numFmtId="0" fontId="91" fillId="16" borderId="2" xfId="0" applyFont="1" applyFill="1" applyBorder="1" applyAlignment="1">
      <alignment vertical="center"/>
    </xf>
    <xf numFmtId="0" fontId="86" fillId="17" borderId="2" xfId="0" applyFont="1" applyFill="1" applyBorder="1" applyAlignment="1">
      <alignment horizontal="center" vertical="center" wrapText="1"/>
    </xf>
    <xf numFmtId="0" fontId="94" fillId="0" borderId="0" xfId="0" applyFont="1"/>
    <xf numFmtId="0" fontId="39" fillId="2" borderId="0" xfId="0" applyFont="1" applyFill="1" applyAlignment="1">
      <alignment vertical="center" wrapText="1"/>
    </xf>
    <xf numFmtId="0" fontId="53" fillId="0" borderId="0" xfId="0" applyFont="1" applyAlignment="1">
      <alignment vertical="center" wrapText="1"/>
    </xf>
    <xf numFmtId="0" fontId="24" fillId="0" borderId="0" xfId="0" applyFont="1" applyAlignment="1">
      <alignment wrapText="1"/>
    </xf>
    <xf numFmtId="0" fontId="24" fillId="0" borderId="0" xfId="0" applyFont="1" applyAlignment="1">
      <alignment vertical="center" wrapText="1"/>
    </xf>
    <xf numFmtId="0" fontId="32" fillId="2" borderId="0" xfId="0" applyFont="1" applyFill="1" applyAlignment="1">
      <alignment vertical="top"/>
    </xf>
    <xf numFmtId="0" fontId="44" fillId="2" borderId="0" xfId="0" applyFont="1" applyFill="1" applyAlignment="1" applyProtection="1">
      <alignment horizontal="center" vertical="center"/>
      <protection locked="0"/>
    </xf>
    <xf numFmtId="0" fontId="3" fillId="0" borderId="0" xfId="2" applyFont="1"/>
    <xf numFmtId="0" fontId="24" fillId="0" borderId="0" xfId="2" applyFont="1"/>
    <xf numFmtId="0" fontId="97" fillId="0" borderId="0" xfId="2" applyFont="1"/>
    <xf numFmtId="0" fontId="53" fillId="0" borderId="0" xfId="0" quotePrefix="1" applyFont="1" applyAlignment="1">
      <alignment horizontal="center" vertical="top"/>
    </xf>
    <xf numFmtId="0" fontId="33" fillId="0" borderId="0" xfId="0" applyFont="1" applyAlignment="1">
      <alignment horizontal="right" vertical="center" wrapText="1"/>
    </xf>
    <xf numFmtId="0" fontId="61" fillId="0" borderId="0" xfId="0" applyFont="1"/>
    <xf numFmtId="0" fontId="69" fillId="0" borderId="0" xfId="0" applyFont="1" applyAlignment="1">
      <alignment vertical="center"/>
    </xf>
    <xf numFmtId="0" fontId="69" fillId="0" borderId="0" xfId="0" applyFont="1" applyAlignment="1">
      <alignment horizontal="center"/>
    </xf>
    <xf numFmtId="0" fontId="69" fillId="0" borderId="0" xfId="0" applyFont="1" applyAlignment="1">
      <alignment horizontal="left"/>
    </xf>
    <xf numFmtId="0" fontId="32" fillId="2" borderId="0" xfId="0" applyFont="1" applyFill="1" applyAlignment="1" applyProtection="1">
      <alignment horizontal="center"/>
      <protection locked="0"/>
    </xf>
    <xf numFmtId="0" fontId="34" fillId="2" borderId="0" xfId="0" applyFont="1" applyFill="1" applyAlignment="1" applyProtection="1">
      <alignment horizontal="center" vertical="center"/>
      <protection locked="0"/>
    </xf>
    <xf numFmtId="0" fontId="25" fillId="0" borderId="0" xfId="0" applyFont="1" applyAlignment="1">
      <alignment vertical="center"/>
    </xf>
    <xf numFmtId="14" fontId="34" fillId="0" borderId="0" xfId="0" applyNumberFormat="1" applyFont="1" applyAlignment="1" applyProtection="1">
      <alignment horizontal="center" vertical="center"/>
      <protection locked="0"/>
    </xf>
    <xf numFmtId="0" fontId="100" fillId="0" borderId="0" xfId="0" applyFont="1" applyAlignment="1">
      <alignment horizontal="left"/>
    </xf>
    <xf numFmtId="0" fontId="101" fillId="0" borderId="0" xfId="0" applyFont="1" applyAlignment="1">
      <alignment vertical="top"/>
    </xf>
    <xf numFmtId="0" fontId="25" fillId="0" borderId="0" xfId="0" applyFont="1" applyAlignment="1">
      <alignment vertical="center" wrapText="1"/>
    </xf>
    <xf numFmtId="0" fontId="65" fillId="0" borderId="0" xfId="0" applyFont="1" applyAlignment="1">
      <alignment horizontal="center" vertical="center" wrapText="1"/>
    </xf>
    <xf numFmtId="0" fontId="25" fillId="0" borderId="0" xfId="0" applyFont="1" applyAlignment="1" applyProtection="1">
      <alignment vertical="center" wrapText="1"/>
      <protection locked="0"/>
    </xf>
    <xf numFmtId="0" fontId="34" fillId="2" borderId="0" xfId="0" applyFont="1" applyFill="1" applyAlignment="1" applyProtection="1">
      <alignment horizontal="left" vertical="center"/>
      <protection locked="0"/>
    </xf>
    <xf numFmtId="0" fontId="65" fillId="0" borderId="0" xfId="0" applyFont="1" applyAlignment="1">
      <alignment vertical="center"/>
    </xf>
    <xf numFmtId="0" fontId="59" fillId="0" borderId="0" xfId="0" applyFont="1" applyAlignment="1">
      <alignment vertical="center" wrapText="1"/>
    </xf>
    <xf numFmtId="0" fontId="56" fillId="2" borderId="0" xfId="0" applyFont="1" applyFill="1" applyAlignment="1">
      <alignment horizontal="center" vertical="center"/>
    </xf>
    <xf numFmtId="0" fontId="32" fillId="0" borderId="0" xfId="0" applyFont="1"/>
    <xf numFmtId="0" fontId="56" fillId="0" borderId="0" xfId="0" applyFont="1" applyAlignment="1">
      <alignment horizontal="center" vertical="center"/>
    </xf>
    <xf numFmtId="164" fontId="56" fillId="0" borderId="0" xfId="0" applyNumberFormat="1" applyFont="1" applyAlignment="1">
      <alignment horizontal="center" vertical="center"/>
    </xf>
    <xf numFmtId="0" fontId="99" fillId="2" borderId="0" xfId="0" applyFont="1" applyFill="1" applyAlignment="1">
      <alignment horizontal="center" vertical="center" wrapText="1"/>
    </xf>
    <xf numFmtId="0" fontId="37" fillId="0" borderId="0" xfId="0" applyFont="1" applyAlignment="1">
      <alignment vertical="center"/>
    </xf>
    <xf numFmtId="0" fontId="91" fillId="0" borderId="0" xfId="0" applyFont="1"/>
    <xf numFmtId="0" fontId="53" fillId="0" borderId="0" xfId="0" applyFont="1" applyAlignment="1">
      <alignment horizontal="center" vertical="top" wrapText="1"/>
    </xf>
    <xf numFmtId="0" fontId="36" fillId="0" borderId="0" xfId="0" applyFont="1" applyAlignment="1">
      <alignment vertical="center"/>
    </xf>
    <xf numFmtId="0" fontId="70" fillId="0" borderId="0" xfId="0" applyFont="1"/>
    <xf numFmtId="0" fontId="24" fillId="0" borderId="0" xfId="0" quotePrefix="1" applyFont="1" applyAlignment="1">
      <alignment horizontal="center"/>
    </xf>
    <xf numFmtId="0" fontId="14" fillId="0" borderId="0" xfId="0" applyFont="1"/>
    <xf numFmtId="0" fontId="104" fillId="0" borderId="0" xfId="0" applyFont="1"/>
    <xf numFmtId="0" fontId="53" fillId="0" borderId="0" xfId="0" quotePrefix="1" applyFont="1" applyAlignment="1">
      <alignment horizontal="center"/>
    </xf>
    <xf numFmtId="0" fontId="53" fillId="0" borderId="0" xfId="0" applyFont="1"/>
    <xf numFmtId="0" fontId="105" fillId="0" borderId="0" xfId="0" applyFont="1"/>
    <xf numFmtId="0" fontId="106" fillId="0" borderId="0" xfId="0" applyFont="1"/>
    <xf numFmtId="0" fontId="53" fillId="0" borderId="0" xfId="0" applyFont="1" applyAlignment="1">
      <alignment vertical="top"/>
    </xf>
    <xf numFmtId="0" fontId="36" fillId="0" borderId="0" xfId="0" applyFont="1" applyAlignment="1">
      <alignment horizontal="center" vertical="center" wrapText="1"/>
    </xf>
    <xf numFmtId="164" fontId="34" fillId="0" borderId="0" xfId="0" applyNumberFormat="1" applyFont="1" applyAlignment="1">
      <alignment horizontal="center" vertical="center"/>
    </xf>
    <xf numFmtId="0" fontId="34" fillId="0" borderId="0" xfId="0" applyFont="1" applyAlignment="1">
      <alignment horizontal="center" vertical="center"/>
    </xf>
    <xf numFmtId="0" fontId="34" fillId="0" borderId="0" xfId="0" applyFont="1" applyAlignment="1">
      <alignment horizontal="center" vertical="center" wrapText="1"/>
    </xf>
    <xf numFmtId="0" fontId="56" fillId="0" borderId="0" xfId="0" applyFont="1" applyAlignment="1" applyProtection="1">
      <alignment horizontal="center" vertical="center" wrapText="1"/>
      <protection locked="0"/>
    </xf>
    <xf numFmtId="0" fontId="109" fillId="0" borderId="0" xfId="0" applyFont="1" applyAlignment="1">
      <alignment vertical="center" wrapText="1"/>
    </xf>
    <xf numFmtId="0" fontId="67" fillId="19" borderId="0" xfId="0" applyFont="1" applyFill="1"/>
    <xf numFmtId="0" fontId="24" fillId="19" borderId="0" xfId="2" applyFont="1" applyFill="1"/>
    <xf numFmtId="0" fontId="97" fillId="19" borderId="0" xfId="2" applyFont="1" applyFill="1"/>
    <xf numFmtId="0" fontId="3" fillId="19" borderId="0" xfId="2" applyFont="1" applyFill="1"/>
    <xf numFmtId="0" fontId="56" fillId="24" borderId="0" xfId="0" applyFont="1" applyFill="1" applyAlignment="1">
      <alignment horizontal="center" vertical="center" wrapText="1"/>
    </xf>
    <xf numFmtId="0" fontId="2" fillId="2" borderId="0" xfId="0" applyFont="1" applyFill="1"/>
    <xf numFmtId="1" fontId="24" fillId="0" borderId="0" xfId="0" applyNumberFormat="1" applyFont="1" applyAlignment="1">
      <alignment horizontal="center"/>
    </xf>
    <xf numFmtId="1" fontId="110" fillId="0" borderId="0" xfId="0" applyNumberFormat="1" applyFont="1"/>
    <xf numFmtId="0" fontId="69" fillId="2" borderId="0" xfId="0" applyFont="1" applyFill="1" applyAlignment="1">
      <alignment horizontal="center"/>
    </xf>
    <xf numFmtId="0" fontId="26" fillId="2" borderId="0" xfId="0" applyFont="1" applyFill="1" applyAlignment="1">
      <alignment horizontal="right" vertical="center"/>
    </xf>
    <xf numFmtId="0" fontId="32" fillId="0" borderId="0" xfId="0" applyFont="1" applyAlignment="1">
      <alignment wrapText="1"/>
    </xf>
    <xf numFmtId="0" fontId="39" fillId="0" borderId="0" xfId="1" applyFont="1" applyBorder="1" applyAlignment="1" applyProtection="1">
      <alignment vertical="center"/>
    </xf>
    <xf numFmtId="0" fontId="0" fillId="0" borderId="0" xfId="0" applyAlignment="1">
      <alignment wrapText="1"/>
    </xf>
    <xf numFmtId="0" fontId="61" fillId="2" borderId="0" xfId="0" applyFont="1" applyFill="1"/>
    <xf numFmtId="0" fontId="11" fillId="2" borderId="0" xfId="0" applyFont="1" applyFill="1" applyAlignment="1">
      <alignment vertical="center" wrapText="1"/>
    </xf>
    <xf numFmtId="0" fontId="11" fillId="0" borderId="0" xfId="0" applyFont="1" applyAlignment="1">
      <alignment vertical="center" wrapText="1"/>
    </xf>
    <xf numFmtId="0" fontId="11" fillId="2" borderId="0" xfId="0" applyFont="1" applyFill="1"/>
    <xf numFmtId="0" fontId="56" fillId="2" borderId="0" xfId="0" applyFont="1" applyFill="1" applyAlignment="1">
      <alignment horizontal="center" vertical="center" wrapText="1"/>
    </xf>
    <xf numFmtId="168" fontId="44" fillId="8" borderId="2" xfId="0" applyNumberFormat="1" applyFont="1" applyFill="1" applyBorder="1" applyAlignment="1" applyProtection="1">
      <alignment horizontal="center" vertical="center" wrapText="1"/>
      <protection locked="0"/>
    </xf>
    <xf numFmtId="0" fontId="61" fillId="0" borderId="0" xfId="2" applyFont="1"/>
    <xf numFmtId="0" fontId="61" fillId="0" borderId="0" xfId="0" applyFont="1" applyAlignment="1">
      <alignment vertical="top"/>
    </xf>
    <xf numFmtId="0" fontId="108" fillId="3" borderId="2" xfId="0" applyFont="1" applyFill="1" applyBorder="1" applyAlignment="1">
      <alignment horizontal="center" vertical="center"/>
    </xf>
    <xf numFmtId="0" fontId="44" fillId="2" borderId="0" xfId="0" applyFont="1" applyFill="1" applyAlignment="1" applyProtection="1">
      <alignment horizontal="center" vertical="center" wrapText="1"/>
      <protection locked="0"/>
    </xf>
    <xf numFmtId="0" fontId="38" fillId="0" borderId="0" xfId="1" applyFont="1" applyAlignment="1" applyProtection="1">
      <alignment vertical="center" wrapText="1"/>
    </xf>
    <xf numFmtId="0" fontId="84" fillId="14" borderId="0" xfId="0" applyFont="1" applyFill="1" applyAlignment="1">
      <alignment horizontal="center"/>
    </xf>
    <xf numFmtId="0" fontId="80" fillId="3" borderId="0" xfId="0" applyFont="1" applyFill="1" applyAlignment="1">
      <alignment horizontal="center"/>
    </xf>
    <xf numFmtId="0" fontId="82" fillId="0" borderId="0" xfId="0" applyFont="1" applyAlignment="1">
      <alignment horizontal="center" vertical="center" wrapText="1"/>
    </xf>
    <xf numFmtId="0" fontId="82" fillId="0" borderId="0" xfId="0" applyFont="1" applyAlignment="1">
      <alignment horizontal="center" vertical="center"/>
    </xf>
    <xf numFmtId="0" fontId="83" fillId="13" borderId="0" xfId="0" applyFont="1" applyFill="1" applyAlignment="1">
      <alignment horizontal="center"/>
    </xf>
    <xf numFmtId="0" fontId="77" fillId="0" borderId="0" xfId="0" applyFont="1" applyAlignment="1">
      <alignment horizontal="center"/>
    </xf>
    <xf numFmtId="0" fontId="79" fillId="0" borderId="0" xfId="0" applyFont="1" applyAlignment="1">
      <alignment horizontal="center"/>
    </xf>
    <xf numFmtId="0" fontId="29" fillId="0" borderId="6" xfId="0" applyFont="1" applyBorder="1" applyAlignment="1">
      <alignment horizontal="left" vertical="center" wrapText="1"/>
    </xf>
    <xf numFmtId="0" fontId="29" fillId="0" borderId="0" xfId="0" applyFont="1" applyAlignment="1">
      <alignment horizontal="left" vertical="center" wrapText="1"/>
    </xf>
    <xf numFmtId="0" fontId="85" fillId="0" borderId="0" xfId="0" applyFont="1" applyAlignment="1">
      <alignment horizontal="left" vertical="center" wrapText="1"/>
    </xf>
    <xf numFmtId="0" fontId="85" fillId="2" borderId="0" xfId="0" applyFont="1" applyFill="1" applyAlignment="1">
      <alignment horizontal="justify" vertical="center" wrapText="1"/>
    </xf>
    <xf numFmtId="0" fontId="58" fillId="2" borderId="0" xfId="0" applyFont="1" applyFill="1" applyAlignment="1">
      <alignment horizontal="justify" vertical="center" wrapText="1"/>
    </xf>
    <xf numFmtId="0" fontId="85" fillId="0" borderId="0" xfId="0" applyFont="1" applyAlignment="1">
      <alignment horizontal="justify" wrapText="1"/>
    </xf>
    <xf numFmtId="0" fontId="86" fillId="0" borderId="0" xfId="0" applyFont="1" applyAlignment="1">
      <alignment horizontal="justify" wrapText="1"/>
    </xf>
    <xf numFmtId="0" fontId="85" fillId="0" borderId="0" xfId="0" applyFont="1" applyAlignment="1">
      <alignment horizontal="justify" vertical="center" wrapText="1"/>
    </xf>
    <xf numFmtId="0" fontId="16" fillId="0" borderId="0" xfId="0" applyFont="1" applyAlignment="1">
      <alignment horizontal="center" vertical="center" wrapText="1"/>
    </xf>
    <xf numFmtId="0" fontId="16" fillId="0" borderId="0" xfId="0" applyFont="1" applyAlignment="1">
      <alignment horizontal="center" vertical="center"/>
    </xf>
    <xf numFmtId="0" fontId="111" fillId="15" borderId="0" xfId="1" applyFont="1" applyFill="1" applyAlignment="1" applyProtection="1">
      <alignment horizontal="center" vertical="center"/>
      <protection locked="0"/>
    </xf>
    <xf numFmtId="0" fontId="89" fillId="2" borderId="0" xfId="0" applyFont="1" applyFill="1" applyAlignment="1">
      <alignment horizontal="left" vertical="center" wrapText="1"/>
    </xf>
    <xf numFmtId="0" fontId="26" fillId="0" borderId="0" xfId="0" applyFont="1" applyAlignment="1">
      <alignment vertical="center"/>
    </xf>
    <xf numFmtId="0" fontId="26" fillId="0" borderId="1" xfId="0" applyFont="1" applyBorder="1" applyAlignment="1">
      <alignment vertical="center"/>
    </xf>
    <xf numFmtId="0" fontId="26" fillId="0" borderId="0" xfId="0" applyFont="1" applyAlignment="1">
      <alignment vertical="center" wrapText="1"/>
    </xf>
    <xf numFmtId="0" fontId="26" fillId="0" borderId="1" xfId="0" applyFont="1" applyBorder="1" applyAlignment="1">
      <alignment vertical="center" wrapText="1"/>
    </xf>
    <xf numFmtId="0" fontId="32" fillId="6" borderId="2" xfId="0" applyFont="1" applyFill="1" applyBorder="1" applyProtection="1">
      <protection locked="0"/>
    </xf>
    <xf numFmtId="0" fontId="26" fillId="0" borderId="0" xfId="0" applyFont="1" applyAlignment="1">
      <alignment wrapText="1"/>
    </xf>
    <xf numFmtId="0" fontId="26" fillId="0" borderId="1" xfId="0" applyFont="1" applyBorder="1" applyAlignment="1">
      <alignment wrapText="1"/>
    </xf>
    <xf numFmtId="0" fontId="30" fillId="23" borderId="0" xfId="0" applyFont="1" applyFill="1" applyAlignment="1">
      <alignment vertical="center" wrapText="1"/>
    </xf>
    <xf numFmtId="0" fontId="41" fillId="0" borderId="0" xfId="0" applyFont="1" applyAlignment="1">
      <alignment vertical="center" wrapText="1"/>
    </xf>
    <xf numFmtId="0" fontId="0" fillId="0" borderId="0" xfId="0"/>
    <xf numFmtId="0" fontId="30" fillId="23" borderId="0" xfId="0" applyFont="1" applyFill="1" applyAlignment="1">
      <alignment horizontal="justify" vertical="center" wrapText="1"/>
    </xf>
    <xf numFmtId="0" fontId="16" fillId="0" borderId="0" xfId="0" applyFont="1" applyAlignment="1">
      <alignment horizontal="center"/>
    </xf>
    <xf numFmtId="0" fontId="31" fillId="6" borderId="3" xfId="0" applyFont="1" applyFill="1" applyBorder="1" applyAlignment="1" applyProtection="1">
      <alignment horizontal="left" vertical="center" wrapText="1"/>
      <protection locked="0"/>
    </xf>
    <xf numFmtId="0" fontId="31" fillId="6" borderId="4" xfId="0" applyFont="1" applyFill="1" applyBorder="1" applyAlignment="1" applyProtection="1">
      <alignment horizontal="left" vertical="center" wrapText="1"/>
      <protection locked="0"/>
    </xf>
    <xf numFmtId="0" fontId="31" fillId="6" borderId="5" xfId="0" applyFont="1" applyFill="1" applyBorder="1" applyAlignment="1" applyProtection="1">
      <alignment horizontal="left" vertical="center" wrapText="1"/>
      <protection locked="0"/>
    </xf>
    <xf numFmtId="0" fontId="42" fillId="19" borderId="0" xfId="0" applyFont="1" applyFill="1" applyAlignment="1">
      <alignment horizontal="center" vertical="center" wrapText="1"/>
    </xf>
    <xf numFmtId="0" fontId="31" fillId="6" borderId="3" xfId="0" applyFont="1" applyFill="1" applyBorder="1" applyAlignment="1" applyProtection="1">
      <alignment horizontal="left" vertical="center"/>
      <protection locked="0"/>
    </xf>
    <xf numFmtId="0" fontId="31" fillId="6" borderId="4" xfId="0" applyFont="1" applyFill="1" applyBorder="1" applyAlignment="1" applyProtection="1">
      <alignment horizontal="left" vertical="center"/>
      <protection locked="0"/>
    </xf>
    <xf numFmtId="0" fontId="31" fillId="6" borderId="5" xfId="0" applyFont="1" applyFill="1" applyBorder="1" applyAlignment="1" applyProtection="1">
      <alignment horizontal="left" vertical="center"/>
      <protection locked="0"/>
    </xf>
    <xf numFmtId="0" fontId="31" fillId="0" borderId="0" xfId="0" applyFont="1" applyAlignment="1" applyProtection="1">
      <alignment horizontal="left" vertical="center" wrapText="1"/>
      <protection locked="0"/>
    </xf>
    <xf numFmtId="0" fontId="42" fillId="20" borderId="0" xfId="0" applyFont="1" applyFill="1" applyAlignment="1">
      <alignment horizontal="center" vertical="center" wrapText="1"/>
    </xf>
    <xf numFmtId="14" fontId="44" fillId="6" borderId="2" xfId="0" applyNumberFormat="1" applyFont="1" applyFill="1" applyBorder="1" applyAlignment="1" applyProtection="1">
      <alignment horizontal="center" vertical="center"/>
      <protection locked="0"/>
    </xf>
    <xf numFmtId="0" fontId="36" fillId="0" borderId="0" xfId="0" applyFont="1" applyAlignment="1">
      <alignment horizontal="left"/>
    </xf>
    <xf numFmtId="0" fontId="44" fillId="6" borderId="3" xfId="0" applyFont="1" applyFill="1" applyBorder="1" applyAlignment="1" applyProtection="1">
      <alignment horizontal="left" wrapText="1"/>
      <protection locked="0"/>
    </xf>
    <xf numFmtId="0" fontId="44" fillId="6" borderId="4" xfId="0" applyFont="1" applyFill="1" applyBorder="1" applyAlignment="1" applyProtection="1">
      <alignment horizontal="left" wrapText="1"/>
      <protection locked="0"/>
    </xf>
    <xf numFmtId="0" fontId="44" fillId="6" borderId="5" xfId="0" applyFont="1" applyFill="1" applyBorder="1" applyAlignment="1" applyProtection="1">
      <alignment horizontal="left" wrapText="1"/>
      <protection locked="0"/>
    </xf>
    <xf numFmtId="0" fontId="41" fillId="0" borderId="6" xfId="0" applyFont="1" applyBorder="1" applyAlignment="1">
      <alignment vertical="center" wrapText="1"/>
    </xf>
    <xf numFmtId="0" fontId="26" fillId="0" borderId="0" xfId="0" applyFont="1" applyAlignment="1">
      <alignment vertical="top"/>
    </xf>
    <xf numFmtId="0" fontId="27" fillId="22" borderId="0" xfId="0" applyFont="1" applyFill="1" applyAlignment="1">
      <alignment horizontal="center" vertical="center" wrapText="1"/>
    </xf>
    <xf numFmtId="0" fontId="42" fillId="21" borderId="0" xfId="0" applyFont="1" applyFill="1" applyAlignment="1">
      <alignment horizontal="center" vertical="center" wrapText="1"/>
    </xf>
    <xf numFmtId="0" fontId="32" fillId="6" borderId="3" xfId="0" applyFont="1" applyFill="1" applyBorder="1" applyAlignment="1" applyProtection="1">
      <alignment horizontal="left" vertical="center" wrapText="1"/>
      <protection locked="0"/>
    </xf>
    <xf numFmtId="0" fontId="32" fillId="6" borderId="4" xfId="0" applyFont="1" applyFill="1" applyBorder="1" applyAlignment="1" applyProtection="1">
      <alignment horizontal="left" vertical="center" wrapText="1"/>
      <protection locked="0"/>
    </xf>
    <xf numFmtId="0" fontId="32" fillId="6" borderId="5" xfId="0" applyFont="1" applyFill="1" applyBorder="1" applyAlignment="1" applyProtection="1">
      <alignment horizontal="left" vertical="center" wrapText="1"/>
      <protection locked="0"/>
    </xf>
    <xf numFmtId="0" fontId="38" fillId="0" borderId="0" xfId="1" applyFont="1" applyAlignment="1" applyProtection="1">
      <alignment horizontal="center" vertical="top" wrapText="1"/>
      <protection locked="0"/>
    </xf>
    <xf numFmtId="0" fontId="27" fillId="5" borderId="0" xfId="0" applyFont="1" applyFill="1" applyAlignment="1">
      <alignment horizontal="center" vertical="center" wrapText="1"/>
    </xf>
    <xf numFmtId="0" fontId="67" fillId="19" borderId="0" xfId="0" applyFont="1" applyFill="1" applyAlignment="1">
      <alignment horizontal="center" vertical="center"/>
    </xf>
    <xf numFmtId="0" fontId="32" fillId="0" borderId="0" xfId="0" applyFont="1" applyAlignment="1" applyProtection="1">
      <alignment horizontal="left" vertical="center"/>
      <protection locked="0"/>
    </xf>
    <xf numFmtId="0" fontId="32" fillId="0" borderId="0" xfId="0" applyFont="1" applyAlignment="1" applyProtection="1">
      <alignment horizontal="center" vertical="center" wrapText="1"/>
      <protection locked="0"/>
    </xf>
    <xf numFmtId="0" fontId="102" fillId="0" borderId="0" xfId="0" applyFont="1" applyAlignment="1">
      <alignment horizontal="justify" vertical="center" wrapText="1"/>
    </xf>
    <xf numFmtId="0" fontId="39" fillId="2" borderId="0" xfId="0" applyFont="1" applyFill="1" applyAlignment="1">
      <alignment vertical="center" wrapText="1"/>
    </xf>
    <xf numFmtId="0" fontId="72" fillId="0" borderId="0" xfId="0" applyFont="1" applyAlignment="1">
      <alignment horizontal="center" vertical="top"/>
    </xf>
    <xf numFmtId="0" fontId="40" fillId="0" borderId="0" xfId="0" applyFont="1" applyAlignment="1">
      <alignment vertical="center"/>
    </xf>
    <xf numFmtId="0" fontId="45" fillId="0" borderId="0" xfId="0" applyFont="1" applyAlignment="1">
      <alignment horizontal="center"/>
    </xf>
    <xf numFmtId="0" fontId="39" fillId="10" borderId="0" xfId="0" applyFont="1" applyFill="1" applyAlignment="1">
      <alignment vertical="center" wrapText="1"/>
    </xf>
    <xf numFmtId="0" fontId="33" fillId="0" borderId="0" xfId="0" applyFont="1" applyAlignment="1">
      <alignment horizontal="center" vertical="center" wrapText="1"/>
    </xf>
    <xf numFmtId="0" fontId="56" fillId="24" borderId="0" xfId="0" applyFont="1" applyFill="1" applyAlignment="1">
      <alignment horizontal="center" vertical="center" wrapText="1"/>
    </xf>
    <xf numFmtId="0" fontId="32" fillId="0" borderId="0" xfId="0" applyFont="1" applyAlignment="1" applyProtection="1">
      <alignment vertical="top" wrapText="1"/>
      <protection locked="0"/>
    </xf>
    <xf numFmtId="0" fontId="32" fillId="2" borderId="0" xfId="0" applyFont="1" applyFill="1" applyAlignment="1" applyProtection="1">
      <alignment horizontal="left" vertical="center" wrapText="1"/>
      <protection locked="0"/>
    </xf>
    <xf numFmtId="0" fontId="32" fillId="2" borderId="0" xfId="0" applyFont="1" applyFill="1" applyAlignment="1" applyProtection="1">
      <alignment horizontal="center" vertical="center"/>
      <protection locked="0"/>
    </xf>
    <xf numFmtId="167" fontId="32" fillId="2" borderId="0" xfId="0" applyNumberFormat="1" applyFont="1" applyFill="1" applyAlignment="1" applyProtection="1">
      <alignment horizontal="center" vertical="center"/>
      <protection locked="0"/>
    </xf>
    <xf numFmtId="0" fontId="38" fillId="0" borderId="0" xfId="1" applyFont="1" applyAlignment="1" applyProtection="1">
      <alignment horizontal="center" vertical="center"/>
      <protection locked="0"/>
    </xf>
    <xf numFmtId="0" fontId="24" fillId="0" borderId="0" xfId="0" applyFont="1"/>
    <xf numFmtId="0" fontId="38" fillId="0" borderId="0" xfId="0" applyFont="1" applyAlignment="1">
      <alignment vertical="center"/>
    </xf>
    <xf numFmtId="0" fontId="76" fillId="0" borderId="0" xfId="1" applyFont="1" applyAlignment="1" applyProtection="1">
      <alignment horizontal="center" vertical="center" wrapText="1"/>
      <protection locked="0"/>
    </xf>
    <xf numFmtId="0" fontId="71" fillId="0" borderId="0" xfId="0" applyFont="1" applyAlignment="1">
      <alignment horizontal="center" vertical="center" wrapText="1"/>
    </xf>
    <xf numFmtId="0" fontId="107" fillId="13" borderId="0" xfId="0" applyFont="1" applyFill="1" applyAlignment="1">
      <alignment vertical="center" wrapText="1"/>
    </xf>
    <xf numFmtId="0" fontId="108" fillId="3" borderId="9" xfId="0" applyFont="1" applyFill="1" applyBorder="1" applyAlignment="1">
      <alignment horizontal="center" vertical="center"/>
    </xf>
    <xf numFmtId="0" fontId="108" fillId="3" borderId="8" xfId="0" applyFont="1" applyFill="1" applyBorder="1" applyAlignment="1">
      <alignment horizontal="center" vertical="center"/>
    </xf>
    <xf numFmtId="0" fontId="68" fillId="13" borderId="6" xfId="0" applyFont="1" applyFill="1" applyBorder="1" applyAlignment="1">
      <alignment horizontal="left" vertical="center" wrapText="1"/>
    </xf>
    <xf numFmtId="0" fontId="68" fillId="13" borderId="0" xfId="0" applyFont="1" applyFill="1" applyAlignment="1">
      <alignment horizontal="left" vertical="center" wrapText="1"/>
    </xf>
    <xf numFmtId="14" fontId="108" fillId="3" borderId="9" xfId="0" applyNumberFormat="1" applyFont="1" applyFill="1" applyBorder="1" applyAlignment="1">
      <alignment horizontal="center" vertical="center"/>
    </xf>
    <xf numFmtId="0" fontId="68" fillId="13" borderId="6" xfId="0" applyFont="1" applyFill="1" applyBorder="1" applyAlignment="1">
      <alignment vertical="center" wrapText="1"/>
    </xf>
    <xf numFmtId="0" fontId="68" fillId="13" borderId="0" xfId="0" applyFont="1" applyFill="1" applyAlignment="1">
      <alignment vertical="center" wrapText="1"/>
    </xf>
    <xf numFmtId="0" fontId="39" fillId="0" borderId="0" xfId="0" applyFont="1" applyAlignment="1">
      <alignment vertical="center" wrapText="1"/>
    </xf>
    <xf numFmtId="0" fontId="75" fillId="0" borderId="0" xfId="0" applyFont="1" applyAlignment="1">
      <alignment vertical="center" wrapText="1"/>
    </xf>
    <xf numFmtId="0" fontId="71" fillId="0" borderId="0" xfId="0" applyFont="1" applyAlignment="1">
      <alignment horizontal="right" vertical="center" wrapText="1"/>
    </xf>
    <xf numFmtId="0" fontId="34" fillId="6" borderId="0" xfId="0" applyFont="1" applyFill="1" applyAlignment="1" applyProtection="1">
      <alignment horizontal="center" vertical="center" wrapText="1"/>
      <protection locked="0"/>
    </xf>
    <xf numFmtId="0" fontId="8" fillId="0" borderId="0" xfId="1" applyFont="1" applyAlignment="1" applyProtection="1">
      <alignment horizontal="center" vertical="center" wrapText="1"/>
      <protection locked="0"/>
    </xf>
    <xf numFmtId="0" fontId="24" fillId="0" borderId="0" xfId="0" applyFont="1" applyAlignment="1">
      <alignment horizontal="justify" vertical="center" wrapText="1"/>
    </xf>
    <xf numFmtId="0" fontId="56" fillId="2" borderId="0" xfId="0" applyFont="1" applyFill="1" applyAlignment="1">
      <alignment horizontal="center" vertical="center" wrapText="1"/>
    </xf>
    <xf numFmtId="0" fontId="53" fillId="0" borderId="0" xfId="0" applyFont="1" applyAlignment="1">
      <alignment horizontal="justify" vertical="center" wrapText="1"/>
    </xf>
    <xf numFmtId="0" fontId="24" fillId="3" borderId="3" xfId="0" applyFont="1" applyFill="1" applyBorder="1" applyAlignment="1">
      <alignment horizontal="center" vertical="center" wrapText="1"/>
    </xf>
    <xf numFmtId="0" fontId="24" fillId="3" borderId="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73" fillId="0" borderId="0" xfId="0" applyFont="1" applyAlignment="1">
      <alignment horizontal="left" vertical="center" wrapText="1"/>
    </xf>
    <xf numFmtId="0" fontId="40" fillId="10" borderId="0" xfId="0" applyFont="1" applyFill="1" applyAlignment="1">
      <alignment vertical="center" wrapText="1"/>
    </xf>
    <xf numFmtId="0" fontId="33" fillId="0" borderId="0" xfId="0" applyFont="1" applyAlignment="1">
      <alignment horizontal="justify" vertical="center" wrapText="1"/>
    </xf>
    <xf numFmtId="0" fontId="6" fillId="0" borderId="0" xfId="0" applyFont="1"/>
    <xf numFmtId="0" fontId="6" fillId="0" borderId="0" xfId="0" applyFont="1" applyAlignment="1">
      <alignment horizontal="center" vertical="center" wrapText="1"/>
    </xf>
    <xf numFmtId="0" fontId="24" fillId="3" borderId="3" xfId="0" applyFont="1" applyFill="1" applyBorder="1" applyAlignment="1">
      <alignment horizontal="left" vertical="center" wrapText="1"/>
    </xf>
    <xf numFmtId="0" fontId="24" fillId="3" borderId="4" xfId="0" applyFont="1" applyFill="1" applyBorder="1" applyAlignment="1">
      <alignment horizontal="left" vertical="center" wrapText="1"/>
    </xf>
    <xf numFmtId="0" fontId="24" fillId="3" borderId="5" xfId="0" applyFont="1" applyFill="1" applyBorder="1" applyAlignment="1">
      <alignment horizontal="left" vertical="center" wrapText="1"/>
    </xf>
    <xf numFmtId="0" fontId="56" fillId="0" borderId="0" xfId="0" applyFont="1" applyAlignment="1">
      <alignment horizontal="center" vertical="center" wrapText="1"/>
    </xf>
    <xf numFmtId="0" fontId="33" fillId="0" borderId="0" xfId="0" applyFont="1" applyAlignment="1">
      <alignment horizontal="center" vertical="top" wrapText="1"/>
    </xf>
    <xf numFmtId="0" fontId="24" fillId="0" borderId="0" xfId="0" applyFont="1" applyAlignment="1">
      <alignment horizontal="center" vertical="top" wrapText="1"/>
    </xf>
    <xf numFmtId="0" fontId="32" fillId="0" borderId="0" xfId="0" applyFont="1" applyAlignment="1" applyProtection="1">
      <alignment horizontal="left" vertical="center" wrapText="1"/>
      <protection locked="0"/>
    </xf>
    <xf numFmtId="0" fontId="74" fillId="0" borderId="0" xfId="0" applyFont="1" applyAlignment="1">
      <alignment horizontal="justify" vertical="center" wrapText="1"/>
    </xf>
    <xf numFmtId="0" fontId="38" fillId="0" borderId="0" xfId="0" applyFont="1" applyAlignment="1">
      <alignment vertical="top"/>
    </xf>
    <xf numFmtId="0" fontId="24" fillId="0" borderId="0" xfId="0" applyFont="1" applyAlignment="1">
      <alignment horizontal="justify" vertical="center"/>
    </xf>
    <xf numFmtId="0" fontId="33" fillId="0" borderId="0" xfId="0" applyFont="1" applyAlignment="1">
      <alignment vertical="center" wrapText="1"/>
    </xf>
    <xf numFmtId="0" fontId="33" fillId="0" borderId="7" xfId="0" applyFont="1" applyBorder="1" applyAlignment="1">
      <alignment vertical="center" wrapText="1"/>
    </xf>
    <xf numFmtId="0" fontId="74" fillId="3" borderId="0" xfId="0" applyFont="1" applyFill="1" applyAlignment="1">
      <alignment horizontal="justify" vertical="center" wrapText="1"/>
    </xf>
    <xf numFmtId="0" fontId="35" fillId="2" borderId="7" xfId="0" applyFont="1" applyFill="1" applyBorder="1" applyAlignment="1">
      <alignment horizontal="center" vertical="center" wrapText="1"/>
    </xf>
    <xf numFmtId="0" fontId="32" fillId="8" borderId="3" xfId="0" applyFont="1" applyFill="1" applyBorder="1" applyAlignment="1" applyProtection="1">
      <alignment horizontal="left" vertical="center" wrapText="1"/>
      <protection locked="0"/>
    </xf>
    <xf numFmtId="0" fontId="32" fillId="8" borderId="4" xfId="0" applyFont="1" applyFill="1" applyBorder="1" applyAlignment="1" applyProtection="1">
      <alignment horizontal="left" vertical="center" wrapText="1"/>
      <protection locked="0"/>
    </xf>
    <xf numFmtId="0" fontId="32" fillId="8" borderId="5" xfId="0" applyFont="1" applyFill="1" applyBorder="1" applyAlignment="1" applyProtection="1">
      <alignment horizontal="left" vertical="center" wrapText="1"/>
      <protection locked="0"/>
    </xf>
    <xf numFmtId="0" fontId="32" fillId="8" borderId="3" xfId="0" applyFont="1" applyFill="1" applyBorder="1" applyAlignment="1" applyProtection="1">
      <alignment horizontal="center" vertical="center" wrapText="1"/>
      <protection locked="0"/>
    </xf>
    <xf numFmtId="0" fontId="32" fillId="8" borderId="5" xfId="0" applyFont="1" applyFill="1" applyBorder="1" applyAlignment="1" applyProtection="1">
      <alignment horizontal="center" vertical="center" wrapText="1"/>
      <protection locked="0"/>
    </xf>
    <xf numFmtId="0" fontId="32" fillId="11" borderId="3" xfId="0" applyFont="1" applyFill="1" applyBorder="1" applyAlignment="1" applyProtection="1">
      <alignment horizontal="left" vertical="center" wrapText="1"/>
      <protection locked="0"/>
    </xf>
    <xf numFmtId="0" fontId="32" fillId="11" borderId="4" xfId="0" applyFont="1" applyFill="1" applyBorder="1" applyAlignment="1" applyProtection="1">
      <alignment horizontal="left" vertical="center" wrapText="1"/>
      <protection locked="0"/>
    </xf>
    <xf numFmtId="0" fontId="32" fillId="11" borderId="5" xfId="0" applyFont="1" applyFill="1" applyBorder="1" applyAlignment="1" applyProtection="1">
      <alignment horizontal="left" vertical="center" wrapText="1"/>
      <protection locked="0"/>
    </xf>
    <xf numFmtId="0" fontId="30" fillId="0" borderId="0" xfId="0" applyFont="1" applyAlignment="1">
      <alignment horizontal="left" vertical="center" wrapText="1"/>
    </xf>
    <xf numFmtId="0" fontId="64" fillId="12" borderId="3" xfId="0" applyFont="1" applyFill="1" applyBorder="1" applyAlignment="1">
      <alignment horizontal="right" vertical="center" wrapText="1"/>
    </xf>
    <xf numFmtId="0" fontId="64" fillId="12" borderId="4" xfId="0" applyFont="1" applyFill="1" applyBorder="1" applyAlignment="1">
      <alignment horizontal="right" vertical="center" wrapText="1"/>
    </xf>
    <xf numFmtId="0" fontId="64" fillId="12" borderId="5" xfId="0" applyFont="1" applyFill="1" applyBorder="1" applyAlignment="1">
      <alignment horizontal="right" vertical="center" wrapText="1"/>
    </xf>
    <xf numFmtId="0" fontId="16" fillId="2" borderId="0" xfId="0" applyFont="1" applyFill="1" applyAlignment="1">
      <alignment wrapText="1"/>
    </xf>
    <xf numFmtId="0" fontId="16" fillId="2" borderId="0" xfId="0" applyFont="1" applyFill="1"/>
    <xf numFmtId="0" fontId="8" fillId="0" borderId="0" xfId="1" applyFont="1" applyAlignment="1" applyProtection="1">
      <alignment horizontal="left" vertical="center" wrapText="1"/>
      <protection locked="0"/>
    </xf>
    <xf numFmtId="0" fontId="32" fillId="11" borderId="3" xfId="0" applyFont="1" applyFill="1" applyBorder="1" applyAlignment="1" applyProtection="1">
      <alignment wrapText="1"/>
      <protection locked="0"/>
    </xf>
    <xf numFmtId="0" fontId="32" fillId="11" borderId="4" xfId="0" applyFont="1" applyFill="1" applyBorder="1" applyAlignment="1" applyProtection="1">
      <alignment wrapText="1"/>
      <protection locked="0"/>
    </xf>
    <xf numFmtId="0" fontId="32" fillId="11" borderId="5" xfId="0" applyFont="1" applyFill="1" applyBorder="1" applyAlignment="1" applyProtection="1">
      <alignment wrapText="1"/>
      <protection locked="0"/>
    </xf>
    <xf numFmtId="0" fontId="33" fillId="4" borderId="2" xfId="0" applyFont="1" applyFill="1" applyBorder="1" applyAlignment="1">
      <alignment horizontal="center" vertical="center"/>
    </xf>
    <xf numFmtId="0" fontId="11" fillId="11" borderId="3" xfId="0" applyFont="1" applyFill="1" applyBorder="1" applyAlignment="1" applyProtection="1">
      <alignment horizontal="left" vertical="top" wrapText="1"/>
      <protection locked="0"/>
    </xf>
    <xf numFmtId="0" fontId="11" fillId="11" borderId="4" xfId="0" applyFont="1" applyFill="1" applyBorder="1" applyAlignment="1" applyProtection="1">
      <alignment horizontal="left" vertical="top" wrapText="1"/>
      <protection locked="0"/>
    </xf>
    <xf numFmtId="0" fontId="11" fillId="11" borderId="5" xfId="0" applyFont="1" applyFill="1" applyBorder="1" applyAlignment="1" applyProtection="1">
      <alignment horizontal="left" vertical="top" wrapText="1"/>
      <protection locked="0"/>
    </xf>
    <xf numFmtId="0" fontId="70" fillId="0" borderId="0" xfId="0" applyFont="1" applyAlignment="1">
      <alignment horizontal="center" vertical="top"/>
    </xf>
    <xf numFmtId="0" fontId="65" fillId="4" borderId="8" xfId="0" applyFont="1" applyFill="1" applyBorder="1" applyAlignment="1">
      <alignment horizontal="center" vertical="center"/>
    </xf>
    <xf numFmtId="0" fontId="32" fillId="11" borderId="2" xfId="0" applyFont="1" applyFill="1" applyBorder="1" applyAlignment="1" applyProtection="1">
      <alignment horizontal="left" vertical="center" wrapText="1"/>
      <protection locked="0"/>
    </xf>
    <xf numFmtId="0" fontId="33" fillId="0" borderId="0" xfId="0" quotePrefix="1" applyFont="1" applyAlignment="1">
      <alignment horizontal="center" vertical="center"/>
    </xf>
    <xf numFmtId="0" fontId="33" fillId="0" borderId="0" xfId="0" applyFont="1" applyAlignment="1">
      <alignment horizontal="center" vertical="center"/>
    </xf>
    <xf numFmtId="0" fontId="45" fillId="0" borderId="0" xfId="0" applyFont="1" applyAlignment="1">
      <alignment horizontal="center" vertical="top"/>
    </xf>
    <xf numFmtId="0" fontId="53" fillId="0" borderId="0" xfId="0" quotePrefix="1" applyFont="1" applyAlignment="1">
      <alignment horizontal="center" vertical="center"/>
    </xf>
    <xf numFmtId="0" fontId="53" fillId="0" borderId="0" xfId="0" applyFont="1" applyAlignment="1">
      <alignment vertical="center" wrapText="1"/>
    </xf>
    <xf numFmtId="0" fontId="40" fillId="10" borderId="0" xfId="0" applyFont="1" applyFill="1" applyAlignment="1">
      <alignment vertical="center"/>
    </xf>
    <xf numFmtId="0" fontId="64" fillId="0" borderId="0" xfId="0" applyFont="1" applyAlignment="1">
      <alignment horizontal="center" vertical="center" wrapText="1"/>
    </xf>
    <xf numFmtId="0" fontId="53" fillId="0" borderId="0" xfId="0" applyFont="1" applyAlignment="1">
      <alignment horizontal="left" vertical="center" wrapText="1"/>
    </xf>
    <xf numFmtId="0" fontId="38" fillId="0" borderId="0" xfId="0" applyFont="1"/>
    <xf numFmtId="0" fontId="35" fillId="0" borderId="0" xfId="0" applyFont="1" applyAlignment="1">
      <alignment horizontal="left" wrapText="1"/>
    </xf>
    <xf numFmtId="0" fontId="39" fillId="10" borderId="0" xfId="1" applyFont="1" applyFill="1" applyAlignment="1" applyProtection="1">
      <alignment vertical="center"/>
      <protection locked="0"/>
    </xf>
    <xf numFmtId="0" fontId="66" fillId="3" borderId="0" xfId="0" applyFont="1" applyFill="1" applyAlignment="1">
      <alignment horizontal="justify" vertical="center" wrapText="1"/>
    </xf>
    <xf numFmtId="0" fontId="15" fillId="0" borderId="0" xfId="0" applyFont="1" applyAlignment="1">
      <alignment horizontal="center" vertical="top"/>
    </xf>
    <xf numFmtId="0" fontId="39" fillId="10" borderId="0" xfId="1" applyFont="1" applyFill="1" applyAlignment="1" applyProtection="1">
      <alignment vertical="center"/>
    </xf>
    <xf numFmtId="0" fontId="71" fillId="0" borderId="0" xfId="0" applyFont="1"/>
    <xf numFmtId="0" fontId="71" fillId="0" borderId="0" xfId="0" applyFont="1" applyAlignment="1">
      <alignment horizontal="right" vertical="top" wrapText="1"/>
    </xf>
    <xf numFmtId="0" fontId="53" fillId="0" borderId="0" xfId="0" applyFont="1" applyAlignment="1">
      <alignment wrapText="1"/>
    </xf>
    <xf numFmtId="0" fontId="24" fillId="0" borderId="0" xfId="0" applyFont="1" applyAlignment="1">
      <alignment wrapText="1"/>
    </xf>
    <xf numFmtId="0" fontId="24" fillId="0" borderId="0" xfId="0" applyFont="1" applyAlignment="1">
      <alignment vertical="center" wrapText="1"/>
    </xf>
    <xf numFmtId="0" fontId="24" fillId="0" borderId="0" xfId="0" applyFont="1" applyAlignment="1">
      <alignment vertical="top" wrapText="1"/>
    </xf>
    <xf numFmtId="0" fontId="37" fillId="0" borderId="0" xfId="0" applyFont="1" applyAlignment="1">
      <alignment wrapText="1"/>
    </xf>
    <xf numFmtId="0" fontId="70" fillId="0" borderId="0" xfId="0" applyFont="1" applyAlignment="1">
      <alignment horizontal="center"/>
    </xf>
    <xf numFmtId="0" fontId="35" fillId="0" borderId="0" xfId="0" applyFont="1" applyAlignment="1">
      <alignment horizontal="justify" vertical="center" wrapText="1"/>
    </xf>
    <xf numFmtId="0" fontId="55" fillId="0" borderId="0" xfId="0" applyFont="1" applyAlignment="1">
      <alignment horizontal="center" vertical="center"/>
    </xf>
    <xf numFmtId="0" fontId="74" fillId="2" borderId="0" xfId="0" applyFont="1" applyFill="1" applyAlignment="1">
      <alignment horizontal="justify" vertical="center" wrapText="1"/>
    </xf>
    <xf numFmtId="0" fontId="37" fillId="0" borderId="0" xfId="0" applyFont="1" applyAlignment="1">
      <alignment vertical="center" wrapText="1"/>
    </xf>
    <xf numFmtId="0" fontId="71" fillId="0" borderId="0" xfId="0" applyFont="1" applyAlignment="1">
      <alignment horizontal="center" wrapText="1"/>
    </xf>
    <xf numFmtId="0" fontId="47" fillId="0" borderId="0" xfId="0" applyFont="1"/>
    <xf numFmtId="0" fontId="32" fillId="18" borderId="3" xfId="0" applyFont="1" applyFill="1" applyBorder="1" applyAlignment="1" applyProtection="1">
      <alignment vertical="center"/>
      <protection locked="0"/>
    </xf>
    <xf numFmtId="0" fontId="32" fillId="18" borderId="4" xfId="0" applyFont="1" applyFill="1" applyBorder="1" applyAlignment="1" applyProtection="1">
      <alignment vertical="center"/>
      <protection locked="0"/>
    </xf>
    <xf numFmtId="0" fontId="32" fillId="18" borderId="5" xfId="0" applyFont="1" applyFill="1" applyBorder="1" applyAlignment="1" applyProtection="1">
      <alignment vertical="center"/>
      <protection locked="0"/>
    </xf>
    <xf numFmtId="0" fontId="24" fillId="0" borderId="0" xfId="0" applyFont="1" applyAlignment="1">
      <alignment horizontal="center" vertical="center" wrapText="1"/>
    </xf>
    <xf numFmtId="0" fontId="37" fillId="0" borderId="0" xfId="0" applyFont="1" applyAlignment="1">
      <alignment horizontal="left" vertical="center"/>
    </xf>
    <xf numFmtId="0" fontId="54" fillId="13" borderId="0" xfId="0" applyFont="1" applyFill="1" applyAlignment="1">
      <alignment vertical="center"/>
    </xf>
    <xf numFmtId="0" fontId="68" fillId="13" borderId="0" xfId="0" applyFont="1" applyFill="1" applyAlignment="1">
      <alignment wrapText="1"/>
    </xf>
    <xf numFmtId="0" fontId="68" fillId="13" borderId="0" xfId="0" applyFont="1" applyFill="1"/>
    <xf numFmtId="0" fontId="32" fillId="11" borderId="3" xfId="0" applyFont="1" applyFill="1" applyBorder="1" applyProtection="1">
      <protection locked="0"/>
    </xf>
    <xf numFmtId="0" fontId="32" fillId="11" borderId="5" xfId="0" applyFont="1" applyFill="1" applyBorder="1" applyProtection="1">
      <protection locked="0"/>
    </xf>
    <xf numFmtId="0" fontId="33" fillId="4" borderId="3" xfId="0" applyFont="1" applyFill="1" applyBorder="1" applyAlignment="1">
      <alignment horizontal="center" vertical="center" wrapText="1"/>
    </xf>
    <xf numFmtId="0" fontId="33" fillId="4" borderId="5" xfId="0" applyFont="1" applyFill="1" applyBorder="1" applyAlignment="1">
      <alignment horizontal="center" vertical="center" wrapText="1"/>
    </xf>
    <xf numFmtId="0" fontId="54" fillId="0" borderId="0" xfId="0" applyFont="1" applyAlignment="1">
      <alignment horizontal="center" vertical="center" wrapText="1"/>
    </xf>
    <xf numFmtId="0" fontId="24" fillId="0" borderId="0" xfId="0" applyFont="1" applyAlignment="1">
      <alignment horizontal="left" vertical="center" wrapText="1"/>
    </xf>
    <xf numFmtId="0" fontId="33" fillId="0" borderId="0" xfId="0" applyFont="1" applyAlignment="1">
      <alignment horizontal="right" vertical="center"/>
    </xf>
    <xf numFmtId="0" fontId="24" fillId="0" borderId="0" xfId="0" applyFont="1" applyAlignment="1">
      <alignment horizontal="right" vertical="center"/>
    </xf>
    <xf numFmtId="0" fontId="33" fillId="0" borderId="0" xfId="0" applyFont="1" applyAlignment="1">
      <alignment horizontal="right" vertical="center" wrapText="1"/>
    </xf>
    <xf numFmtId="0" fontId="24" fillId="0" borderId="0" xfId="0" applyFont="1" applyAlignment="1">
      <alignment horizontal="center" vertical="center"/>
    </xf>
    <xf numFmtId="0" fontId="30" fillId="0" borderId="0" xfId="2" applyFont="1" applyAlignment="1">
      <alignment horizontal="justify" vertical="center" wrapText="1"/>
    </xf>
    <xf numFmtId="0" fontId="30" fillId="23" borderId="0" xfId="2" applyFont="1" applyFill="1" applyAlignment="1">
      <alignment horizontal="justify" vertical="center" wrapText="1"/>
    </xf>
    <xf numFmtId="0" fontId="34" fillId="8" borderId="0" xfId="2" applyFont="1" applyFill="1" applyAlignment="1" applyProtection="1">
      <alignment horizontal="center" vertical="center" wrapText="1"/>
      <protection locked="0"/>
    </xf>
    <xf numFmtId="0" fontId="32" fillId="2" borderId="0" xfId="0" applyFont="1" applyFill="1" applyProtection="1">
      <protection locked="0"/>
    </xf>
    <xf numFmtId="0" fontId="98" fillId="0" borderId="0" xfId="0" applyFont="1"/>
    <xf numFmtId="0" fontId="33" fillId="0" borderId="0" xfId="0" applyFont="1" applyAlignment="1">
      <alignment horizontal="right" wrapText="1"/>
    </xf>
    <xf numFmtId="0" fontId="24" fillId="0" borderId="0" xfId="0" applyFont="1" applyAlignment="1">
      <alignment horizontal="right" vertical="center" wrapText="1"/>
    </xf>
    <xf numFmtId="0" fontId="109" fillId="0" borderId="0" xfId="0" applyFont="1" applyAlignment="1">
      <alignment horizontal="center" vertical="center" wrapText="1"/>
    </xf>
    <xf numFmtId="0" fontId="70" fillId="2" borderId="0" xfId="0" applyFont="1" applyFill="1" applyAlignment="1">
      <alignment horizontal="center" vertical="center"/>
    </xf>
    <xf numFmtId="0" fontId="99" fillId="0" borderId="0" xfId="0" applyFont="1" applyAlignment="1">
      <alignment vertical="center" wrapText="1"/>
    </xf>
    <xf numFmtId="0" fontId="99" fillId="0" borderId="0" xfId="0" applyFont="1" applyAlignment="1">
      <alignment horizontal="left" vertical="center" wrapText="1"/>
    </xf>
    <xf numFmtId="0" fontId="30" fillId="0" borderId="0" xfId="0" applyFont="1" applyAlignment="1">
      <alignment horizontal="center" vertical="top" wrapText="1"/>
    </xf>
    <xf numFmtId="0" fontId="30" fillId="0" borderId="0" xfId="0" applyFont="1" applyAlignment="1">
      <alignment horizontal="center" vertical="center" wrapText="1"/>
    </xf>
    <xf numFmtId="0" fontId="32" fillId="2" borderId="0" xfId="0" applyFont="1" applyFill="1" applyAlignment="1" applyProtection="1">
      <alignment vertical="center" wrapText="1"/>
      <protection locked="0"/>
    </xf>
    <xf numFmtId="0" fontId="65" fillId="2" borderId="0" xfId="0" applyFont="1" applyFill="1" applyAlignment="1">
      <alignment horizontal="center" vertical="center" wrapText="1"/>
    </xf>
    <xf numFmtId="0" fontId="25" fillId="0" borderId="0" xfId="0" applyFont="1" applyAlignment="1">
      <alignment horizontal="center" vertical="center" wrapText="1"/>
    </xf>
    <xf numFmtId="0" fontId="34" fillId="2" borderId="0" xfId="0" applyFont="1" applyFill="1" applyAlignment="1" applyProtection="1">
      <alignment horizontal="center" vertical="center"/>
      <protection locked="0"/>
    </xf>
    <xf numFmtId="0" fontId="99" fillId="2" borderId="0" xfId="0" applyFont="1" applyFill="1" applyAlignment="1">
      <alignment horizontal="center" vertical="center" wrapText="1"/>
    </xf>
    <xf numFmtId="0" fontId="40" fillId="2" borderId="0" xfId="0" applyFont="1" applyFill="1" applyAlignment="1">
      <alignment vertical="center"/>
    </xf>
    <xf numFmtId="0" fontId="39" fillId="2" borderId="0" xfId="1" applyFont="1" applyFill="1" applyAlignment="1" applyProtection="1">
      <alignment horizontal="center" vertical="center" wrapText="1"/>
      <protection locked="0"/>
    </xf>
    <xf numFmtId="0" fontId="39" fillId="0" borderId="0" xfId="0" applyFont="1" applyAlignment="1">
      <alignment horizontal="center" vertical="center" wrapText="1"/>
    </xf>
    <xf numFmtId="0" fontId="109" fillId="0" borderId="0" xfId="0" applyFont="1" applyAlignment="1">
      <alignment horizontal="center" vertical="center"/>
    </xf>
    <xf numFmtId="0" fontId="32" fillId="2" borderId="0" xfId="0" applyFont="1" applyFill="1" applyAlignment="1" applyProtection="1">
      <alignment horizontal="left"/>
      <protection locked="0"/>
    </xf>
    <xf numFmtId="0" fontId="65" fillId="0" borderId="0" xfId="0" applyFont="1" applyAlignment="1">
      <alignment vertical="center" wrapText="1"/>
    </xf>
    <xf numFmtId="0" fontId="32" fillId="0" borderId="0" xfId="0" applyFont="1" applyAlignment="1" applyProtection="1">
      <alignment horizontal="center" vertical="center"/>
      <protection locked="0"/>
    </xf>
    <xf numFmtId="0" fontId="32" fillId="2" borderId="0" xfId="0" applyFont="1" applyFill="1" applyAlignment="1" applyProtection="1">
      <alignment horizontal="center" vertical="center" wrapText="1"/>
      <protection locked="0"/>
    </xf>
    <xf numFmtId="0" fontId="99" fillId="2" borderId="0" xfId="0" applyFont="1" applyFill="1" applyAlignment="1">
      <alignment horizontal="justify" vertical="center" wrapText="1"/>
    </xf>
    <xf numFmtId="0" fontId="65" fillId="0" borderId="0" xfId="0" applyFont="1" applyAlignment="1">
      <alignment horizontal="right" vertical="center" wrapText="1"/>
    </xf>
    <xf numFmtId="0" fontId="103" fillId="2" borderId="0" xfId="0" applyFont="1" applyFill="1" applyAlignment="1">
      <alignment horizontal="center" vertical="center" wrapText="1"/>
    </xf>
    <xf numFmtId="0" fontId="103" fillId="0" borderId="0" xfId="0" applyFont="1" applyAlignment="1">
      <alignment horizontal="center" vertical="center" wrapText="1"/>
    </xf>
    <xf numFmtId="0" fontId="65" fillId="0" borderId="0" xfId="0" applyFont="1" applyAlignment="1">
      <alignment horizontal="center" vertical="center" wrapText="1"/>
    </xf>
    <xf numFmtId="0" fontId="35" fillId="2" borderId="0" xfId="0" applyFont="1" applyFill="1" applyAlignment="1">
      <alignment horizontal="center" vertical="center" wrapText="1"/>
    </xf>
    <xf numFmtId="0" fontId="25" fillId="0" borderId="0" xfId="0" applyFont="1" applyAlignment="1" applyProtection="1">
      <alignment horizontal="left" vertical="center" wrapText="1"/>
      <protection locked="0"/>
    </xf>
    <xf numFmtId="14" fontId="34" fillId="2" borderId="0" xfId="0" applyNumberFormat="1" applyFont="1" applyFill="1" applyAlignment="1" applyProtection="1">
      <alignment horizontal="center" vertical="center"/>
      <protection locked="0"/>
    </xf>
    <xf numFmtId="0" fontId="39" fillId="0" borderId="0" xfId="1" applyFont="1" applyAlignment="1" applyProtection="1">
      <alignment horizontal="center" vertical="center" wrapText="1"/>
      <protection locked="0"/>
    </xf>
    <xf numFmtId="0" fontId="70" fillId="0" borderId="0" xfId="0" applyFont="1" applyAlignment="1">
      <alignment horizontal="center" vertical="center"/>
    </xf>
    <xf numFmtId="0" fontId="3" fillId="0" borderId="0" xfId="0" applyFont="1" applyAlignment="1">
      <alignment vertical="center"/>
    </xf>
  </cellXfs>
  <cellStyles count="3">
    <cellStyle name="Hyperlink" xfId="1" builtinId="8"/>
    <cellStyle name="Normal" xfId="0" builtinId="0"/>
    <cellStyle name="Normal 3" xfId="2" xr:uid="{3A2C9012-5446-4472-A857-F60A142FABA9}"/>
  </cellStyles>
  <dxfs count="780">
    <dxf>
      <font>
        <b/>
        <i val="0"/>
        <color rgb="FFC00000"/>
      </font>
      <numFmt numFmtId="0" formatCode="General"/>
      <fill>
        <patternFill>
          <bgColor rgb="FFFFFF00"/>
        </patternFill>
      </fill>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dxf>
    <dxf>
      <fill>
        <patternFill>
          <bgColor theme="7" tint="0.79998168889431442"/>
        </patternFill>
      </fill>
    </dxf>
    <dxf>
      <fill>
        <patternFill>
          <bgColor theme="5" tint="-0.24994659260841701"/>
        </patternFill>
      </fill>
    </dxf>
    <dxf>
      <fill>
        <patternFill>
          <bgColor theme="5" tint="-0.24994659260841701"/>
        </patternFill>
      </fill>
    </dxf>
    <dxf>
      <fill>
        <patternFill>
          <bgColor rgb="FF7030A0"/>
        </patternFill>
      </fill>
    </dxf>
    <dxf>
      <fill>
        <patternFill>
          <bgColor rgb="FF0070C0"/>
        </patternFill>
      </fill>
    </dxf>
    <dxf>
      <fill>
        <patternFill>
          <bgColor theme="8" tint="0.79998168889431442"/>
        </patternFill>
      </fill>
    </dxf>
    <dxf>
      <fill>
        <patternFill>
          <bgColor theme="8" tint="0.79998168889431442"/>
        </patternFill>
      </fill>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CE5D8"/>
        </patternFill>
      </fill>
      <border>
        <left style="thin">
          <color auto="1"/>
        </left>
        <right style="thin">
          <color auto="1"/>
        </right>
        <top style="thin">
          <color auto="1"/>
        </top>
        <bottom style="thin">
          <color auto="1"/>
        </bottom>
        <vertical/>
        <horizontal/>
      </border>
    </dxf>
    <dxf>
      <fill>
        <patternFill>
          <bgColor rgb="FFFFC7C7"/>
        </patternFill>
      </fill>
    </dxf>
    <dxf>
      <fill>
        <patternFill>
          <bgColor rgb="FFFCE5D8"/>
        </patternFill>
      </fill>
      <border>
        <left style="thin">
          <color auto="1"/>
        </left>
        <right style="thin">
          <color auto="1"/>
        </right>
        <top style="thin">
          <color auto="1"/>
        </top>
        <bottom style="thin">
          <color auto="1"/>
        </bottom>
        <vertical/>
        <horizontal/>
      </border>
    </dxf>
    <dxf>
      <fill>
        <patternFill>
          <bgColor rgb="FFC65911"/>
        </patternFill>
      </fill>
    </dxf>
    <dxf>
      <fill>
        <patternFill>
          <bgColor rgb="FFC65911"/>
        </patternFill>
      </fill>
    </dxf>
    <dxf>
      <fill>
        <patternFill>
          <bgColor rgb="FFC65911"/>
        </patternFill>
      </fill>
    </dxf>
    <dxf>
      <fill>
        <patternFill>
          <bgColor rgb="FFC6591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CE5D8"/>
        </patternFill>
      </fill>
      <border>
        <left style="thin">
          <color auto="1"/>
        </left>
        <right style="thin">
          <color auto="1"/>
        </right>
        <top style="thin">
          <color auto="1"/>
        </top>
        <bottom style="thin">
          <color auto="1"/>
        </bottom>
        <vertical/>
        <horizontal/>
      </border>
    </dxf>
    <dxf>
      <fill>
        <patternFill>
          <bgColor rgb="FFFFC7C7"/>
        </patternFill>
      </fill>
    </dxf>
    <dxf>
      <fill>
        <patternFill>
          <bgColor rgb="FFFCE5D8"/>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rgb="FFFFC7C7"/>
        </patternFill>
      </fill>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border>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rgb="FF00B0F0"/>
        </patternFill>
      </fill>
    </dxf>
    <dxf>
      <fill>
        <patternFill>
          <bgColor rgb="FF3998D2"/>
        </patternFill>
      </fill>
    </dxf>
    <dxf>
      <fill>
        <patternFill>
          <bgColor theme="4" tint="0.79998168889431442"/>
        </patternFill>
      </fill>
    </dxf>
    <dxf>
      <font>
        <b/>
        <i val="0"/>
        <color rgb="FFC65911"/>
      </font>
      <fill>
        <patternFill>
          <bgColor theme="4" tint="0.79998168889431442"/>
        </patternFill>
      </fill>
    </dxf>
    <dxf>
      <fill>
        <patternFill>
          <bgColor rgb="FF6CA62C"/>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CAE8AA"/>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ill>
        <patternFill>
          <bgColor rgb="FF7030A0"/>
        </patternFill>
      </fill>
    </dxf>
    <dxf>
      <fill>
        <patternFill>
          <bgColor rgb="FF0070C0"/>
        </patternFill>
      </fill>
    </dxf>
    <dxf>
      <fill>
        <patternFill>
          <bgColor theme="8" tint="0.79998168889431442"/>
        </patternFill>
      </fill>
    </dxf>
    <dxf>
      <fill>
        <patternFill>
          <bgColor theme="8"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CE5D8"/>
        </patternFill>
      </fill>
      <border>
        <left style="thin">
          <color auto="1"/>
        </left>
        <right style="thin">
          <color auto="1"/>
        </right>
        <top style="thin">
          <color auto="1"/>
        </top>
        <bottom style="thin">
          <color auto="1"/>
        </bottom>
        <vertical/>
        <horizontal/>
      </border>
    </dxf>
    <dxf>
      <fill>
        <patternFill>
          <bgColor rgb="FFFFC7C7"/>
        </patternFill>
      </fill>
    </dxf>
    <dxf>
      <fill>
        <patternFill>
          <bgColor rgb="FFFCE5D8"/>
        </patternFill>
      </fill>
      <border>
        <left style="thin">
          <color auto="1"/>
        </left>
        <right style="thin">
          <color auto="1"/>
        </right>
        <top style="thin">
          <color auto="1"/>
        </top>
        <bottom style="thin">
          <color auto="1"/>
        </bottom>
        <vertical/>
        <horizontal/>
      </border>
    </dxf>
    <dxf>
      <fill>
        <patternFill>
          <bgColor rgb="FFC65911"/>
        </patternFill>
      </fill>
    </dxf>
    <dxf>
      <fill>
        <patternFill>
          <bgColor rgb="FFC65911"/>
        </patternFill>
      </fill>
    </dxf>
    <dxf>
      <fill>
        <patternFill>
          <bgColor rgb="FFC65911"/>
        </patternFill>
      </fill>
    </dxf>
    <dxf>
      <fill>
        <patternFill>
          <bgColor rgb="FFC6591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CE5D8"/>
        </patternFill>
      </fill>
      <border>
        <left style="thin">
          <color auto="1"/>
        </left>
        <right style="thin">
          <color auto="1"/>
        </right>
        <top style="thin">
          <color auto="1"/>
        </top>
        <bottom style="thin">
          <color auto="1"/>
        </bottom>
        <vertical/>
        <horizontal/>
      </border>
    </dxf>
    <dxf>
      <fill>
        <patternFill>
          <bgColor rgb="FFFFC7C7"/>
        </patternFill>
      </fill>
    </dxf>
    <dxf>
      <fill>
        <patternFill>
          <bgColor rgb="FFFCE5D8"/>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rgb="FFFFC7C7"/>
        </patternFill>
      </fill>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border>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ill>
        <patternFill>
          <bgColor rgb="FF00B0F0"/>
        </patternFill>
      </fill>
    </dxf>
    <dxf>
      <fill>
        <patternFill>
          <bgColor rgb="FF3998D2"/>
        </patternFill>
      </fill>
    </dxf>
    <dxf>
      <fill>
        <patternFill>
          <bgColor theme="4" tint="0.79998168889431442"/>
        </patternFill>
      </fill>
    </dxf>
    <dxf>
      <font>
        <color rgb="FFC65911"/>
      </font>
      <fill>
        <patternFill>
          <bgColor theme="4" tint="0.79998168889431442"/>
        </patternFill>
      </fill>
    </dxf>
    <dxf>
      <fill>
        <patternFill>
          <bgColor rgb="FF6CA62C"/>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CAE8AA"/>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7030A0"/>
        </patternFill>
      </fill>
    </dxf>
    <dxf>
      <fill>
        <patternFill>
          <bgColor rgb="FF0070C0"/>
        </patternFill>
      </fill>
    </dxf>
    <dxf>
      <fill>
        <patternFill>
          <bgColor theme="8" tint="0.79998168889431442"/>
        </patternFill>
      </fill>
    </dxf>
    <dxf>
      <fill>
        <patternFill>
          <bgColor theme="8"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CE5D8"/>
        </patternFill>
      </fill>
      <border>
        <left style="thin">
          <color auto="1"/>
        </left>
        <right style="thin">
          <color auto="1"/>
        </right>
        <top style="thin">
          <color auto="1"/>
        </top>
        <bottom style="thin">
          <color auto="1"/>
        </bottom>
        <vertical/>
        <horizontal/>
      </border>
    </dxf>
    <dxf>
      <fill>
        <patternFill>
          <bgColor rgb="FFFFC7C7"/>
        </patternFill>
      </fill>
    </dxf>
    <dxf>
      <fill>
        <patternFill>
          <bgColor rgb="FFFCE5D8"/>
        </patternFill>
      </fill>
      <border>
        <left style="thin">
          <color auto="1"/>
        </left>
        <right style="thin">
          <color auto="1"/>
        </right>
        <top style="thin">
          <color auto="1"/>
        </top>
        <bottom style="thin">
          <color auto="1"/>
        </bottom>
        <vertical/>
        <horizontal/>
      </border>
    </dxf>
    <dxf>
      <fill>
        <patternFill>
          <bgColor rgb="FFC65911"/>
        </patternFill>
      </fill>
    </dxf>
    <dxf>
      <fill>
        <patternFill>
          <bgColor rgb="FFC65911"/>
        </patternFill>
      </fill>
    </dxf>
    <dxf>
      <fill>
        <patternFill>
          <bgColor rgb="FFC65911"/>
        </patternFill>
      </fill>
    </dxf>
    <dxf>
      <fill>
        <patternFill>
          <bgColor rgb="FFC6591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CE5D8"/>
        </patternFill>
      </fill>
      <border>
        <left style="thin">
          <color auto="1"/>
        </left>
        <right style="thin">
          <color auto="1"/>
        </right>
        <top style="thin">
          <color auto="1"/>
        </top>
        <bottom style="thin">
          <color auto="1"/>
        </bottom>
        <vertical/>
        <horizontal/>
      </border>
    </dxf>
    <dxf>
      <fill>
        <patternFill>
          <bgColor rgb="FFFFC7C7"/>
        </patternFill>
      </fill>
    </dxf>
    <dxf>
      <fill>
        <patternFill>
          <bgColor rgb="FFFCE5D8"/>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rgb="FFFFC7C7"/>
        </patternFill>
      </fill>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border>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rgb="FF00B0F0"/>
        </patternFill>
      </fill>
    </dxf>
    <dxf>
      <fill>
        <patternFill>
          <bgColor rgb="FF3998D2"/>
        </patternFill>
      </fill>
    </dxf>
    <dxf>
      <fill>
        <patternFill>
          <bgColor theme="4" tint="0.79998168889431442"/>
        </patternFill>
      </fill>
    </dxf>
    <dxf>
      <fill>
        <patternFill>
          <bgColor theme="4" tint="0.79998168889431442"/>
        </patternFill>
      </fill>
    </dxf>
    <dxf>
      <fill>
        <patternFill>
          <bgColor rgb="FF6CA62C"/>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CAE8AA"/>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7030A0"/>
        </patternFill>
      </fill>
    </dxf>
    <dxf>
      <fill>
        <patternFill>
          <bgColor rgb="FF7030A0"/>
        </patternFill>
      </fill>
    </dxf>
    <dxf>
      <fill>
        <patternFill>
          <bgColor rgb="FF0070C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CE5D8"/>
        </patternFill>
      </fill>
      <border>
        <left style="thin">
          <color auto="1"/>
        </left>
        <right style="thin">
          <color auto="1"/>
        </right>
        <top style="thin">
          <color auto="1"/>
        </top>
        <bottom style="thin">
          <color auto="1"/>
        </bottom>
        <vertical/>
        <horizontal/>
      </border>
    </dxf>
    <dxf>
      <fill>
        <patternFill>
          <bgColor rgb="FFFFC7C7"/>
        </patternFill>
      </fill>
    </dxf>
    <dxf>
      <fill>
        <patternFill>
          <bgColor rgb="FFFCE5D8"/>
        </patternFill>
      </fill>
      <border>
        <left style="thin">
          <color auto="1"/>
        </left>
        <right style="thin">
          <color auto="1"/>
        </right>
        <top style="thin">
          <color auto="1"/>
        </top>
        <bottom style="thin">
          <color auto="1"/>
        </bottom>
        <vertical/>
        <horizontal/>
      </border>
    </dxf>
    <dxf>
      <fill>
        <patternFill>
          <bgColor rgb="FFC65911"/>
        </patternFill>
      </fill>
    </dxf>
    <dxf>
      <fill>
        <patternFill>
          <bgColor rgb="FFC65911"/>
        </patternFill>
      </fill>
    </dxf>
    <dxf>
      <fill>
        <patternFill>
          <bgColor rgb="FFC65911"/>
        </patternFill>
      </fill>
    </dxf>
    <dxf>
      <fill>
        <patternFill>
          <bgColor rgb="FFC65911"/>
        </patternFill>
      </fill>
    </dxf>
    <dxf>
      <fill>
        <patternFill>
          <bgColor rgb="FFC6591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CE5D8"/>
        </patternFill>
      </fill>
      <border>
        <left style="thin">
          <color auto="1"/>
        </left>
        <right style="thin">
          <color auto="1"/>
        </right>
        <top style="thin">
          <color auto="1"/>
        </top>
        <bottom style="thin">
          <color auto="1"/>
        </bottom>
        <vertical/>
        <horizontal/>
      </border>
    </dxf>
    <dxf>
      <fill>
        <patternFill>
          <bgColor rgb="FFFFC7C7"/>
        </patternFill>
      </fill>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rgb="FFFFC7C7"/>
        </patternFill>
      </fill>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rgb="FFFCE5D9"/>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ill>
        <patternFill>
          <bgColor rgb="FF00B0F0"/>
        </patternFill>
      </fill>
    </dxf>
    <dxf>
      <fill>
        <patternFill>
          <bgColor rgb="FF3998D2"/>
        </patternFill>
      </fill>
    </dxf>
    <dxf>
      <font>
        <color rgb="FFC65911"/>
      </font>
      <fill>
        <patternFill>
          <bgColor theme="4" tint="0.79998168889431442"/>
        </patternFill>
      </fill>
    </dxf>
    <dxf>
      <fill>
        <patternFill>
          <bgColor theme="4" tint="0.79998168889431442"/>
        </patternFill>
      </fill>
    </dxf>
    <dxf>
      <fill>
        <patternFill>
          <bgColor theme="4" tint="0.79998168889431442"/>
        </patternFill>
      </fill>
    </dxf>
    <dxf>
      <fill>
        <patternFill>
          <bgColor rgb="FFA86ED4"/>
        </patternFill>
      </fill>
      <border>
        <left style="thin">
          <color auto="1"/>
        </left>
        <right style="thin">
          <color auto="1"/>
        </right>
        <top style="thin">
          <color auto="1"/>
        </top>
        <bottom style="thin">
          <color auto="1"/>
        </bottom>
        <vertical/>
        <horizontal/>
      </border>
    </dxf>
    <dxf>
      <fill>
        <patternFill>
          <bgColor rgb="FF6CA62C"/>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CAE8AA"/>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7030A0"/>
        </patternFill>
      </fill>
    </dxf>
    <dxf>
      <fill>
        <patternFill>
          <bgColor rgb="FF7030A0"/>
        </patternFill>
      </fill>
    </dxf>
    <dxf>
      <fill>
        <patternFill>
          <bgColor rgb="FF0070C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CE5D8"/>
        </patternFill>
      </fill>
      <border>
        <left style="thin">
          <color auto="1"/>
        </left>
        <right style="thin">
          <color auto="1"/>
        </right>
        <top style="thin">
          <color auto="1"/>
        </top>
        <bottom style="thin">
          <color auto="1"/>
        </bottom>
        <vertical/>
        <horizontal/>
      </border>
    </dxf>
    <dxf>
      <fill>
        <patternFill>
          <bgColor rgb="FFFFC7C7"/>
        </patternFill>
      </fill>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CE5D8"/>
        </patternFill>
      </fill>
      <border>
        <left style="thin">
          <color auto="1"/>
        </left>
        <right style="thin">
          <color auto="1"/>
        </right>
        <top style="thin">
          <color auto="1"/>
        </top>
        <bottom style="thin">
          <color auto="1"/>
        </bottom>
        <vertical/>
        <horizontal/>
      </border>
    </dxf>
    <dxf>
      <fill>
        <patternFill>
          <bgColor rgb="FFFFC7C7"/>
        </patternFill>
      </fill>
    </dxf>
    <dxf>
      <fill>
        <patternFill>
          <bgColor rgb="FFFCE5D8"/>
        </patternFill>
      </fill>
      <border>
        <left style="thin">
          <color auto="1"/>
        </left>
        <right style="thin">
          <color auto="1"/>
        </right>
        <top style="thin">
          <color auto="1"/>
        </top>
        <bottom style="thin">
          <color auto="1"/>
        </bottom>
        <vertical/>
        <horizontal/>
      </border>
    </dxf>
    <dxf>
      <fill>
        <patternFill>
          <bgColor rgb="FFC65911"/>
        </patternFill>
      </fill>
    </dxf>
    <dxf>
      <fill>
        <patternFill>
          <bgColor rgb="FFC65911"/>
        </patternFill>
      </fill>
    </dxf>
    <dxf>
      <fill>
        <patternFill>
          <bgColor rgb="FFC65911"/>
        </patternFill>
      </fill>
    </dxf>
    <dxf>
      <fill>
        <patternFill>
          <bgColor rgb="FFC65911"/>
        </patternFill>
      </fill>
    </dxf>
    <dxf>
      <fill>
        <patternFill>
          <bgColor rgb="FFC6591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CE5D8"/>
        </patternFill>
      </fill>
      <border>
        <left style="thin">
          <color auto="1"/>
        </left>
        <right style="thin">
          <color auto="1"/>
        </right>
        <top style="thin">
          <color auto="1"/>
        </top>
        <bottom style="thin">
          <color auto="1"/>
        </bottom>
        <vertical/>
        <horizontal/>
      </border>
    </dxf>
    <dxf>
      <fill>
        <patternFill>
          <bgColor rgb="FFFFC7C7"/>
        </patternFill>
      </fill>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rgb="FFFFC7C7"/>
        </patternFill>
      </fill>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rgb="FF00B0F0"/>
        </patternFill>
      </fill>
    </dxf>
    <dxf>
      <fill>
        <patternFill>
          <bgColor rgb="FF3998D2"/>
        </patternFill>
      </fill>
    </dxf>
    <dxf>
      <font>
        <b/>
        <i val="0"/>
        <color rgb="FFC65911"/>
      </font>
      <fill>
        <patternFill>
          <bgColor theme="4" tint="0.79998168889431442"/>
        </patternFill>
      </fill>
    </dxf>
    <dxf>
      <fill>
        <patternFill>
          <bgColor theme="4" tint="0.79998168889431442"/>
        </patternFill>
      </fill>
    </dxf>
    <dxf>
      <fill>
        <patternFill>
          <bgColor theme="4" tint="0.79998168889431442"/>
        </patternFill>
      </fill>
    </dxf>
    <dxf>
      <fill>
        <patternFill>
          <bgColor rgb="FFA86ED4"/>
        </patternFill>
      </fill>
      <border>
        <left style="thin">
          <color auto="1"/>
        </left>
        <right style="thin">
          <color auto="1"/>
        </right>
        <top style="thin">
          <color auto="1"/>
        </top>
        <bottom style="thin">
          <color auto="1"/>
        </bottom>
        <vertical/>
        <horizontal/>
      </border>
    </dxf>
    <dxf>
      <fill>
        <patternFill>
          <bgColor rgb="FF6CA62C"/>
        </patternFill>
      </fill>
      <border>
        <left style="thin">
          <color auto="1"/>
        </left>
        <right style="thin">
          <color auto="1"/>
        </right>
        <top style="thin">
          <color auto="1"/>
        </top>
        <bottom style="thin">
          <color auto="1"/>
        </bottom>
        <vertical/>
        <horizontal/>
      </border>
    </dxf>
    <dxf>
      <fill>
        <patternFill>
          <bgColor theme="4" tint="-0.24994659260841701"/>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CAE8AA"/>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7030A0"/>
        </patternFill>
      </fill>
    </dxf>
    <dxf>
      <fill>
        <patternFill>
          <bgColor rgb="FF7030A0"/>
        </patternFill>
      </fill>
    </dxf>
    <dxf>
      <fill>
        <patternFill>
          <bgColor rgb="FF0070C0"/>
        </patternFill>
      </fill>
    </dxf>
    <dxf>
      <fill>
        <patternFill>
          <bgColor theme="8" tint="0.79998168889431442"/>
        </patternFill>
      </fill>
    </dxf>
    <dxf>
      <fill>
        <patternFill>
          <bgColor theme="8" tint="0.79998168889431442"/>
        </patternFill>
      </fill>
    </dxf>
    <dxf>
      <fill>
        <patternFill>
          <bgColor theme="8" tint="0.79998168889431442"/>
        </patternFill>
      </fill>
    </dxf>
    <dxf>
      <font>
        <b/>
        <i val="0"/>
        <color rgb="FF0070C0"/>
      </font>
      <fill>
        <patternFill>
          <bgColor rgb="FFEFF6FB"/>
        </patternFill>
      </fill>
      <border>
        <left style="thin">
          <color auto="1"/>
        </left>
        <right style="thin">
          <color auto="1"/>
        </right>
        <top style="thin">
          <color auto="1"/>
        </top>
        <bottom style="thin">
          <color auto="1"/>
        </bottom>
      </border>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FCE5D8"/>
        </patternFill>
      </fill>
      <border>
        <left style="thin">
          <color auto="1"/>
        </left>
        <right style="thin">
          <color auto="1"/>
        </right>
        <top style="thin">
          <color auto="1"/>
        </top>
        <bottom style="thin">
          <color auto="1"/>
        </bottom>
      </border>
    </dxf>
    <dxf>
      <font>
        <b/>
        <i val="0"/>
        <color rgb="FF0070C0"/>
      </font>
      <fill>
        <patternFill>
          <bgColor rgb="FFFCE5D8"/>
        </patternFill>
      </fill>
      <border>
        <left style="thin">
          <color auto="1"/>
        </left>
        <right style="thin">
          <color auto="1"/>
        </right>
        <top style="thin">
          <color auto="1"/>
        </top>
        <bottom style="thin">
          <color auto="1"/>
        </bottom>
      </border>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border>
    </dxf>
    <dxf>
      <font>
        <b/>
        <i val="0"/>
        <color rgb="FF0070C0"/>
      </font>
      <fill>
        <patternFill>
          <bgColor rgb="FFEFF6FB"/>
        </patternFill>
      </fill>
      <border>
        <left style="thin">
          <color auto="1"/>
        </left>
        <right style="thin">
          <color auto="1"/>
        </right>
        <top style="thin">
          <color auto="1"/>
        </top>
        <bottom style="thin">
          <color auto="1"/>
        </bottom>
        <vertical/>
        <horizontal/>
      </border>
    </dxf>
    <dxf>
      <font>
        <b/>
        <i val="0"/>
        <color rgb="FF0070C0"/>
      </font>
      <fill>
        <patternFill>
          <bgColor rgb="FFEFF6FB"/>
        </patternFill>
      </fill>
      <border>
        <left style="thin">
          <color auto="1"/>
        </left>
        <right style="thin">
          <color auto="1"/>
        </right>
        <top style="thin">
          <color auto="1"/>
        </top>
        <bottom style="thin">
          <color auto="1"/>
        </bottom>
      </border>
    </dxf>
    <dxf>
      <font>
        <b/>
        <i val="0"/>
        <color rgb="FF0070C0"/>
      </font>
      <fill>
        <patternFill>
          <bgColor rgb="FFEFF6FB"/>
        </patternFill>
      </fill>
      <border>
        <left style="thin">
          <color auto="1"/>
        </left>
        <right style="thin">
          <color auto="1"/>
        </right>
        <top style="thin">
          <color auto="1"/>
        </top>
        <bottom style="thin">
          <color auto="1"/>
        </bottom>
      </border>
    </dxf>
    <dxf>
      <fill>
        <patternFill>
          <bgColor rgb="FFFCE5D8"/>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vertical/>
        <horizontal/>
      </border>
    </dxf>
    <dxf>
      <fill>
        <patternFill>
          <bgColor rgb="FFFFC7C7"/>
        </patternFill>
      </fill>
      <border>
        <left style="thin">
          <color auto="1"/>
        </left>
        <right style="thin">
          <color auto="1"/>
        </right>
        <top style="thin">
          <color auto="1"/>
        </top>
        <bottom style="thin">
          <color auto="1"/>
        </bottom>
      </border>
    </dxf>
    <dxf>
      <fill>
        <patternFill>
          <bgColor rgb="FFFFC7C7"/>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ill>
        <patternFill>
          <bgColor rgb="FFFFC7C7"/>
        </patternFill>
      </fill>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rgb="FFC65911"/>
        </patternFill>
      </fill>
    </dxf>
    <dxf>
      <fill>
        <patternFill>
          <bgColor rgb="FFC65911"/>
        </patternFill>
      </fill>
    </dxf>
    <dxf>
      <fill>
        <patternFill>
          <bgColor rgb="FFC65911"/>
        </patternFill>
      </fill>
    </dxf>
    <dxf>
      <fill>
        <patternFill>
          <bgColor rgb="FFC65911"/>
        </patternFill>
      </fill>
    </dxf>
    <dxf>
      <fill>
        <patternFill>
          <bgColor rgb="FFC65911"/>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CE5D8"/>
        </patternFill>
      </fill>
      <border>
        <left style="thin">
          <color auto="1"/>
        </left>
        <right style="thin">
          <color auto="1"/>
        </right>
        <top style="thin">
          <color auto="1"/>
        </top>
        <bottom style="thin">
          <color auto="1"/>
        </bottom>
        <vertical/>
        <horizontal/>
      </border>
    </dxf>
    <dxf>
      <fill>
        <patternFill>
          <bgColor rgb="FFFFC7C7"/>
        </patternFill>
      </fill>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rgb="FFFFC7C7"/>
        </patternFill>
      </fill>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ont>
        <color rgb="FFC65911"/>
      </font>
      <fill>
        <patternFill>
          <bgColor theme="4" tint="0.79998168889431442"/>
        </patternFill>
      </fill>
    </dxf>
    <dxf>
      <fill>
        <patternFill>
          <bgColor theme="4" tint="0.79998168889431442"/>
        </patternFill>
      </fill>
    </dxf>
    <dxf>
      <font>
        <b/>
        <i val="0"/>
        <color rgb="FFC65911"/>
      </font>
      <fill>
        <patternFill>
          <bgColor theme="4" tint="0.79998168889431442"/>
        </patternFill>
      </fill>
    </dxf>
    <dxf>
      <fill>
        <patternFill>
          <bgColor theme="8" tint="0.79998168889431442"/>
        </patternFill>
      </fill>
    </dxf>
    <dxf>
      <fill>
        <patternFill>
          <bgColor theme="8" tint="0.79998168889431442"/>
        </patternFill>
      </fill>
    </dxf>
    <dxf>
      <font>
        <b/>
        <i val="0"/>
      </font>
      <fill>
        <patternFill>
          <bgColor theme="8" tint="0.79998168889431442"/>
        </patternFill>
      </fill>
    </dxf>
    <dxf>
      <font>
        <b/>
        <i val="0"/>
        <color auto="1"/>
      </font>
      <fill>
        <patternFill>
          <bgColor theme="8" tint="0.79998168889431442"/>
        </patternFill>
      </fill>
    </dxf>
    <dxf>
      <fill>
        <patternFill>
          <bgColor theme="0" tint="-0.14996795556505021"/>
        </patternFill>
      </fill>
    </dxf>
    <dxf>
      <fill>
        <patternFill>
          <bgColor rgb="FFA86ED4"/>
        </patternFill>
      </fill>
      <border>
        <left style="thin">
          <color auto="1"/>
        </left>
        <right style="thin">
          <color auto="1"/>
        </right>
        <top style="thin">
          <color auto="1"/>
        </top>
        <bottom style="thin">
          <color auto="1"/>
        </bottom>
        <vertical/>
        <horizontal/>
      </border>
    </dxf>
    <dxf>
      <fill>
        <patternFill>
          <bgColor rgb="FF7030A0"/>
        </patternFill>
      </fill>
    </dxf>
    <dxf>
      <fill>
        <patternFill>
          <bgColor rgb="FF6CA62C"/>
        </patternFill>
      </fill>
      <border>
        <left style="thin">
          <color auto="1"/>
        </left>
        <right style="thin">
          <color auto="1"/>
        </right>
        <top style="thin">
          <color auto="1"/>
        </top>
        <bottom style="thin">
          <color auto="1"/>
        </bottom>
        <vertical/>
        <horizontal/>
      </border>
    </dxf>
    <dxf>
      <fill>
        <patternFill>
          <bgColor rgb="FFCAE8AA"/>
        </patternFill>
      </fill>
    </dxf>
    <dxf>
      <fill>
        <patternFill>
          <bgColor theme="4" tint="-0.24994659260841701"/>
        </patternFill>
      </fill>
      <border>
        <left style="thin">
          <color auto="1"/>
        </left>
        <right style="thin">
          <color auto="1"/>
        </right>
        <top style="thin">
          <color auto="1"/>
        </top>
        <bottom style="thin">
          <color auto="1"/>
        </bottom>
        <vertical/>
        <horizontal/>
      </border>
    </dxf>
    <dxf>
      <font>
        <b/>
        <i val="0"/>
        <color theme="0"/>
      </font>
      <fill>
        <patternFill>
          <bgColor theme="4" tint="-0.24994659260841701"/>
        </patternFill>
      </fill>
    </dxf>
    <dxf>
      <fill>
        <patternFill>
          <bgColor theme="0" tint="-0.14996795556505021"/>
        </patternFill>
      </fill>
    </dxf>
    <dxf>
      <font>
        <b/>
        <i val="0"/>
        <color auto="1"/>
      </font>
      <fill>
        <patternFill>
          <bgColor theme="9" tint="0.59996337778862885"/>
        </patternFill>
      </fill>
    </dxf>
    <dxf>
      <fill>
        <patternFill>
          <bgColor theme="9" tint="0.59996337778862885"/>
        </patternFill>
      </fill>
      <border>
        <left style="thin">
          <color auto="1"/>
        </left>
        <right style="thin">
          <color auto="1"/>
        </right>
        <top style="thin">
          <color auto="1"/>
        </top>
        <bottom style="thin">
          <color auto="1"/>
        </bottom>
        <vertical/>
        <horizontal/>
      </border>
    </dxf>
    <dxf>
      <font>
        <b/>
        <i val="0"/>
        <color rgb="FFC00000"/>
      </font>
      <fill>
        <patternFill>
          <bgColor rgb="FFFFFF00"/>
        </patternFill>
      </fill>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CAE8AA"/>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00B0F0"/>
        </patternFill>
      </fill>
    </dxf>
    <dxf>
      <fill>
        <patternFill>
          <bgColor rgb="FF3998D2"/>
        </patternFill>
      </fill>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FFFF00"/>
        </patternFill>
      </fill>
    </dxf>
    <dxf>
      <fill>
        <patternFill>
          <bgColor theme="8" tint="0.79998168889431442"/>
        </patternFill>
      </fill>
    </dxf>
    <dxf>
      <fill>
        <patternFill>
          <bgColor rgb="FFFEDD79"/>
        </patternFill>
      </fill>
      <border>
        <right style="thin">
          <color auto="1"/>
        </right>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border>
    </dxf>
    <dxf>
      <fill>
        <patternFill>
          <bgColor rgb="FFFCE5D8"/>
        </patternFill>
      </fill>
      <border>
        <left style="thin">
          <color auto="1"/>
        </left>
        <right style="thin">
          <color auto="1"/>
        </right>
        <top style="thin">
          <color auto="1"/>
        </top>
        <bottom style="thin">
          <color auto="1"/>
        </bottom>
        <vertical/>
        <horizontal/>
      </border>
    </dxf>
    <dxf>
      <font>
        <b/>
        <i val="0"/>
        <color auto="1"/>
      </font>
      <fill>
        <patternFill>
          <bgColor rgb="FFFF8B8B"/>
        </patternFill>
      </fill>
    </dxf>
    <dxf>
      <font>
        <b/>
        <i val="0"/>
        <color auto="1"/>
      </font>
      <fill>
        <patternFill>
          <bgColor rgb="FFFF8B8B"/>
        </patternFill>
      </fill>
    </dxf>
    <dxf>
      <font>
        <b/>
        <i val="0"/>
        <color rgb="FFC00000"/>
      </font>
    </dxf>
    <dxf>
      <fill>
        <patternFill>
          <bgColor rgb="FFFCE5D8"/>
        </patternFill>
      </fill>
      <border>
        <left style="thin">
          <color auto="1"/>
        </left>
        <right style="thin">
          <color auto="1"/>
        </right>
        <top style="thin">
          <color auto="1"/>
        </top>
        <bottom style="thin">
          <color auto="1"/>
        </bottom>
        <vertical/>
        <horizontal/>
      </border>
    </dxf>
    <dxf>
      <fill>
        <patternFill>
          <bgColor rgb="FFC65911"/>
        </patternFill>
      </fill>
    </dxf>
    <dxf>
      <fill>
        <patternFill>
          <bgColor rgb="FFC65911"/>
        </patternFill>
      </fill>
    </dxf>
    <dxf>
      <fill>
        <patternFill>
          <bgColor rgb="FFC65911"/>
        </patternFill>
      </fill>
    </dxf>
    <dxf>
      <fill>
        <patternFill>
          <bgColor rgb="FFC65911"/>
        </patternFill>
      </fill>
    </dxf>
    <dxf>
      <fill>
        <patternFill>
          <bgColor rgb="FFC65911"/>
        </patternFill>
      </fill>
    </dxf>
    <dxf>
      <fill>
        <patternFill>
          <bgColor rgb="FFC65911"/>
        </patternFill>
      </fill>
    </dxf>
    <dxf>
      <fill>
        <patternFill>
          <bgColor rgb="FFC65911"/>
        </patternFill>
      </fill>
    </dxf>
    <dxf>
      <fill>
        <patternFill>
          <bgColor rgb="FFC65911"/>
        </patternFill>
      </fill>
    </dxf>
    <dxf>
      <fill>
        <patternFill>
          <bgColor rgb="FFC65911"/>
        </patternFill>
      </fill>
    </dxf>
    <dxf>
      <fill>
        <patternFill>
          <bgColor theme="1"/>
        </patternFill>
      </fill>
    </dxf>
    <dxf>
      <fill>
        <patternFill>
          <bgColor theme="1"/>
        </patternFill>
      </fill>
    </dxf>
    <dxf>
      <fill>
        <patternFill>
          <bgColor theme="1"/>
        </patternFill>
      </fill>
    </dxf>
    <dxf>
      <fill>
        <patternFill>
          <bgColor rgb="FFC65911"/>
        </patternFill>
      </fill>
    </dxf>
    <dxf>
      <fill>
        <patternFill>
          <bgColor rgb="FFFBE0CD"/>
        </patternFill>
      </fill>
      <border>
        <left style="thin">
          <color auto="1"/>
        </left>
        <right style="thin">
          <color auto="1"/>
        </right>
        <top style="thin">
          <color auto="1"/>
        </top>
        <bottom style="thin">
          <color auto="1"/>
        </bottom>
        <vertical/>
        <horizontal/>
      </border>
    </dxf>
    <dxf>
      <fill>
        <patternFill>
          <bgColor rgb="FFFBE0CD"/>
        </patternFill>
      </fill>
      <border>
        <left style="thin">
          <color auto="1"/>
        </left>
        <right style="thin">
          <color auto="1"/>
        </right>
        <top style="thin">
          <color auto="1"/>
        </top>
        <bottom style="thin">
          <color auto="1"/>
        </bottom>
        <vertical/>
        <horizontal/>
      </border>
    </dxf>
    <dxf>
      <fill>
        <patternFill>
          <bgColor rgb="FFFBE0CD"/>
        </patternFill>
      </fill>
      <border>
        <left style="thin">
          <color auto="1"/>
        </left>
        <right style="thin">
          <color auto="1"/>
        </right>
        <top style="thin">
          <color auto="1"/>
        </top>
        <bottom style="thin">
          <color auto="1"/>
        </bottom>
        <vertical/>
        <horizontal/>
      </border>
    </dxf>
    <dxf>
      <fill>
        <patternFill>
          <bgColor rgb="FFFEDD79"/>
        </patternFill>
      </fill>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theme="4" tint="0.59996337778862885"/>
        </patternFill>
      </fill>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ont>
        <b/>
        <i val="0"/>
        <color rgb="FFC00000"/>
      </font>
    </dxf>
    <dxf>
      <font>
        <b/>
        <i val="0"/>
        <color rgb="FFC00000"/>
      </font>
    </dxf>
    <dxf>
      <fill>
        <patternFill>
          <bgColor theme="5" tint="-0.24994659260841701"/>
        </patternFill>
      </fill>
    </dxf>
    <dxf>
      <fill>
        <patternFill>
          <bgColor theme="4" tint="0.59996337778862885"/>
        </patternFill>
      </fill>
    </dxf>
    <dxf>
      <fill>
        <patternFill>
          <bgColor rgb="FFD9E6F2"/>
        </patternFill>
      </fill>
    </dxf>
    <dxf>
      <fill>
        <patternFill>
          <bgColor rgb="FFD9E6F2"/>
        </patternFill>
      </fill>
    </dxf>
    <dxf>
      <fill>
        <patternFill>
          <bgColor theme="8" tint="0.79998168889431442"/>
        </patternFill>
      </fill>
    </dxf>
    <dxf>
      <fill>
        <patternFill>
          <bgColor rgb="FFD9E6F2"/>
        </patternFill>
      </fill>
    </dxf>
    <dxf>
      <fill>
        <patternFill>
          <bgColor theme="8" tint="0.79998168889431442"/>
        </patternFill>
      </fill>
    </dxf>
    <dxf>
      <fill>
        <patternFill>
          <bgColor rgb="FFD9E6F2"/>
        </patternFill>
      </fill>
    </dxf>
    <dxf>
      <fill>
        <patternFill>
          <bgColor rgb="FFD9E6F2"/>
        </patternFill>
      </fill>
    </dxf>
    <dxf>
      <font>
        <b/>
        <i val="0"/>
        <color rgb="FFC00000"/>
      </font>
      <fill>
        <patternFill>
          <bgColor theme="8" tint="0.79998168889431442"/>
        </patternFill>
      </fill>
    </dxf>
    <dxf>
      <fill>
        <patternFill>
          <bgColor rgb="FFFEDD79"/>
        </patternFill>
      </fill>
      <border>
        <left style="thin">
          <color auto="1"/>
        </left>
        <right style="thin">
          <color auto="1"/>
        </right>
        <bottom style="thin">
          <color auto="1"/>
        </bottom>
        <vertical/>
        <horizontal/>
      </border>
    </dxf>
    <dxf>
      <fill>
        <patternFill>
          <bgColor rgb="FFFEDD79"/>
        </patternFill>
      </fill>
      <border>
        <left style="thin">
          <color auto="1"/>
        </left>
        <right style="thin">
          <color auto="1"/>
        </right>
        <top style="thin">
          <color auto="1"/>
        </top>
        <bottom style="thin">
          <color auto="1"/>
        </bottom>
      </border>
    </dxf>
    <dxf>
      <fill>
        <patternFill>
          <bgColor theme="4" tint="0.79998168889431442"/>
        </patternFill>
      </fill>
    </dxf>
    <dxf>
      <font>
        <b/>
        <i val="0"/>
        <color rgb="FFC65911"/>
      </font>
      <fill>
        <patternFill>
          <bgColor theme="4" tint="0.79998168889431442"/>
        </patternFill>
      </fill>
    </dxf>
    <dxf>
      <fill>
        <patternFill>
          <bgColor theme="4" tint="0.79998168889431442"/>
        </patternFill>
      </fill>
    </dxf>
    <dxf>
      <fill>
        <patternFill>
          <bgColor rgb="FFFCE5D8"/>
        </patternFill>
      </fill>
      <border>
        <left style="thin">
          <color auto="1"/>
        </left>
        <right style="thin">
          <color auto="1"/>
        </right>
        <top style="thin">
          <color auto="1"/>
        </top>
        <bottom style="thin">
          <color auto="1"/>
        </bottom>
        <vertical/>
        <horizontal/>
      </border>
    </dxf>
    <dxf>
      <fill>
        <patternFill>
          <bgColor rgb="FFBCCEBC"/>
        </patternFill>
      </fill>
      <border>
        <left style="thin">
          <color auto="1"/>
        </left>
        <right style="thin">
          <color auto="1"/>
        </right>
        <top style="thin">
          <color auto="1"/>
        </top>
        <bottom style="thin">
          <color auto="1"/>
        </bottom>
        <vertical/>
        <horizontal/>
      </border>
    </dxf>
    <dxf>
      <fill>
        <patternFill>
          <bgColor rgb="FF87A686"/>
        </patternFill>
      </fill>
      <border>
        <left style="thin">
          <color auto="1"/>
        </left>
        <right style="thin">
          <color auto="1"/>
        </right>
        <top style="thin">
          <color auto="1"/>
        </top>
        <bottom style="thin">
          <color auto="1"/>
        </bottom>
        <vertical/>
        <horizontal/>
      </border>
    </dxf>
    <dxf>
      <font>
        <b/>
        <i val="0"/>
        <color rgb="FFC00000"/>
      </font>
      <fill>
        <patternFill>
          <bgColor theme="0" tint="-4.9989318521683403E-2"/>
        </patternFill>
      </fill>
    </dxf>
    <dxf>
      <font>
        <b/>
        <i val="0"/>
        <color rgb="FFC00000"/>
      </font>
      <fill>
        <patternFill>
          <bgColor rgb="FFFFFF00"/>
        </patternFill>
      </fill>
    </dxf>
    <dxf>
      <fill>
        <patternFill>
          <bgColor rgb="FFFCE5D8"/>
        </patternFill>
      </fill>
      <border>
        <left style="thin">
          <color auto="1"/>
        </left>
        <right style="thin">
          <color auto="1"/>
        </right>
        <top style="thin">
          <color auto="1"/>
        </top>
        <bottom style="thin">
          <color auto="1"/>
        </bottom>
        <vertical/>
        <horizontal/>
      </border>
    </dxf>
    <dxf>
      <font>
        <b/>
        <i val="0"/>
        <color auto="1"/>
      </font>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EDD79"/>
        </patternFill>
      </fill>
      <border>
        <left style="thin">
          <color auto="1"/>
        </left>
        <vertical/>
        <horizontal/>
      </border>
    </dxf>
    <dxf>
      <fill>
        <patternFill>
          <bgColor rgb="FF0070C0"/>
        </patternFill>
      </fill>
    </dxf>
    <dxf>
      <fill>
        <patternFill>
          <bgColor rgb="FF0070C0"/>
        </patternFill>
      </fill>
    </dxf>
    <dxf>
      <fill>
        <patternFill>
          <bgColor rgb="FF0070C0"/>
        </patternFill>
      </fill>
    </dxf>
    <dxf>
      <fill>
        <patternFill>
          <bgColor rgb="FF4580BE"/>
        </patternFill>
      </fill>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fill>
        <patternFill>
          <bgColor rgb="FFFFFF00"/>
        </patternFill>
      </fill>
    </dxf>
    <dxf>
      <font>
        <b/>
        <i val="0"/>
        <color rgb="FFC00000"/>
      </font>
      <fill>
        <patternFill>
          <bgColor rgb="FFFFFF00"/>
        </patternFill>
      </fill>
    </dxf>
    <dxf>
      <font>
        <b/>
        <i val="0"/>
        <color rgb="FFC00000"/>
      </font>
      <fill>
        <patternFill>
          <bgColor rgb="FFFFFF00"/>
        </patternFill>
      </fill>
    </dxf>
    <dxf>
      <fill>
        <patternFill>
          <bgColor rgb="FFFCE4D6"/>
        </patternFill>
      </fill>
      <border>
        <left style="thin">
          <color auto="1"/>
        </left>
        <right style="thin">
          <color auto="1"/>
        </right>
        <top style="thin">
          <color auto="1"/>
        </top>
        <bottom style="thin">
          <color auto="1"/>
        </bottom>
        <vertical/>
        <horizontal/>
      </border>
    </dxf>
    <dxf>
      <fill>
        <patternFill>
          <bgColor rgb="FFFCE4D6"/>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ill>
        <patternFill>
          <bgColor rgb="FFFCE4D6"/>
        </patternFill>
      </fill>
      <border>
        <left style="thin">
          <color auto="1"/>
        </left>
        <right style="thin">
          <color auto="1"/>
        </right>
        <top style="thin">
          <color auto="1"/>
        </top>
        <bottom style="thin">
          <color auto="1"/>
        </bottom>
        <vertical/>
        <horizontal/>
      </border>
    </dxf>
    <dxf>
      <fill>
        <patternFill>
          <bgColor rgb="FFFCE4D6"/>
        </patternFill>
      </fill>
      <border>
        <left style="thin">
          <color auto="1"/>
        </left>
        <right style="thin">
          <color auto="1"/>
        </right>
        <top style="thin">
          <color auto="1"/>
        </top>
        <bottom style="thin">
          <color auto="1"/>
        </bottom>
        <vertical/>
        <horizontal/>
      </border>
    </dxf>
    <dxf>
      <font>
        <b/>
        <i val="0"/>
        <color rgb="FFC00000"/>
      </font>
    </dxf>
    <dxf>
      <fill>
        <patternFill>
          <bgColor rgb="FFFCE4D6"/>
        </patternFill>
      </fill>
      <border>
        <left style="thin">
          <color auto="1"/>
        </left>
        <right style="thin">
          <color auto="1"/>
        </right>
        <top style="thin">
          <color auto="1"/>
        </top>
        <bottom style="thin">
          <color auto="1"/>
        </bottom>
        <vertical/>
        <horizontal/>
      </border>
    </dxf>
    <dxf>
      <fill>
        <patternFill>
          <bgColor rgb="FFFCE4D6"/>
        </patternFill>
      </fill>
      <border>
        <left style="thin">
          <color auto="1"/>
        </left>
        <right style="thin">
          <color auto="1"/>
        </right>
        <top style="thin">
          <color auto="1"/>
        </top>
        <bottom style="thin">
          <color auto="1"/>
        </bottom>
        <vertical/>
        <horizontal/>
      </border>
    </dxf>
    <dxf>
      <fill>
        <patternFill>
          <bgColor rgb="FFECF4FA"/>
        </patternFill>
      </fill>
      <border>
        <left style="thin">
          <color auto="1"/>
        </left>
        <right style="thin">
          <color auto="1"/>
        </right>
        <top style="thin">
          <color auto="1"/>
        </top>
        <bottom style="thin">
          <color auto="1"/>
        </bottom>
        <vertical/>
        <horizontal/>
      </border>
    </dxf>
    <dxf>
      <fill>
        <patternFill>
          <bgColor rgb="FFFCE4D6"/>
        </patternFill>
      </fill>
      <border>
        <left style="thin">
          <color auto="1"/>
        </left>
        <right style="thin">
          <color auto="1"/>
        </right>
        <top style="thin">
          <color auto="1"/>
        </top>
        <bottom style="thin">
          <color auto="1"/>
        </bottom>
        <vertical/>
        <horizontal/>
      </border>
    </dxf>
    <dxf>
      <font>
        <b/>
        <i val="0"/>
      </font>
      <fill>
        <patternFill>
          <bgColor rgb="FFFCE4D6"/>
        </patternFill>
      </fill>
      <border>
        <left style="thin">
          <color auto="1"/>
        </left>
        <right style="thin">
          <color auto="1"/>
        </right>
        <top style="thin">
          <color auto="1"/>
        </top>
        <bottom style="thin">
          <color auto="1"/>
        </bottom>
        <vertical/>
        <horizontal/>
      </border>
    </dxf>
    <dxf>
      <fill>
        <patternFill>
          <bgColor rgb="FFFCE4D6"/>
        </patternFill>
      </fill>
      <border>
        <left style="thin">
          <color auto="1"/>
        </left>
        <right style="thin">
          <color auto="1"/>
        </right>
        <top style="thin">
          <color auto="1"/>
        </top>
        <bottom style="thin">
          <color auto="1"/>
        </bottom>
        <vertical/>
        <horizontal/>
      </border>
    </dxf>
    <dxf>
      <fill>
        <patternFill>
          <bgColor rgb="FFFCE4D6"/>
        </patternFill>
      </fill>
      <border>
        <left style="thin">
          <color auto="1"/>
        </left>
        <right style="thin">
          <color auto="1"/>
        </right>
        <top style="thin">
          <color auto="1"/>
        </top>
        <bottom style="thin">
          <color auto="1"/>
        </bottom>
        <vertical/>
        <horizontal/>
      </border>
    </dxf>
    <dxf>
      <font>
        <strike val="0"/>
        <outline val="0"/>
        <shadow val="0"/>
        <u val="none"/>
        <vertAlign val="baseline"/>
        <sz val="11"/>
        <color theme="0"/>
        <name val="Calibri"/>
        <family val="2"/>
        <scheme val="minor"/>
      </font>
      <fill>
        <patternFill patternType="solid">
          <fgColor indexed="64"/>
          <bgColor theme="0"/>
        </patternFill>
      </fill>
    </dxf>
    <dxf>
      <font>
        <strike val="0"/>
        <outline val="0"/>
        <shadow val="0"/>
        <u val="none"/>
        <vertAlign val="baseline"/>
        <sz val="11"/>
        <color theme="0"/>
        <name val="Calibri"/>
        <family val="2"/>
        <scheme val="minor"/>
      </font>
      <fill>
        <patternFill>
          <fgColor indexed="64"/>
          <bgColor theme="0"/>
        </patternFill>
      </fill>
    </dxf>
    <dxf>
      <font>
        <b val="0"/>
        <i val="0"/>
        <strike val="0"/>
        <condense val="0"/>
        <extend val="0"/>
        <outline val="0"/>
        <shadow val="0"/>
        <u val="none"/>
        <vertAlign val="baseline"/>
        <sz val="11"/>
        <color theme="0"/>
        <name val="Calibri"/>
        <family val="2"/>
        <scheme val="minor"/>
      </font>
      <fill>
        <patternFill>
          <fgColor indexed="64"/>
          <bgColor theme="0"/>
        </patternFill>
      </fill>
    </dxf>
    <dxf>
      <font>
        <b val="0"/>
        <i val="0"/>
        <strike val="0"/>
        <condense val="0"/>
        <extend val="0"/>
        <outline val="0"/>
        <shadow val="0"/>
        <u val="none"/>
        <vertAlign val="baseline"/>
        <sz val="11"/>
        <color theme="0"/>
        <name val="Calibri"/>
        <family val="2"/>
        <scheme val="minor"/>
      </font>
      <fill>
        <patternFill>
          <fgColor indexed="64"/>
          <bgColor theme="0"/>
        </patternFill>
      </fill>
    </dxf>
    <dxf>
      <font>
        <b val="0"/>
        <i val="0"/>
        <strike val="0"/>
        <condense val="0"/>
        <extend val="0"/>
        <outline val="0"/>
        <shadow val="0"/>
        <u val="none"/>
        <vertAlign val="baseline"/>
        <sz val="11"/>
        <color theme="0"/>
        <name val="Calibri"/>
        <family val="2"/>
        <scheme val="minor"/>
      </font>
      <fill>
        <patternFill>
          <fgColor indexed="64"/>
          <bgColor theme="0"/>
        </patternFill>
      </fill>
    </dxf>
    <dxf>
      <font>
        <strike val="0"/>
        <outline val="0"/>
        <shadow val="0"/>
        <u val="none"/>
        <vertAlign val="baseline"/>
        <sz val="11"/>
        <color theme="0"/>
        <name val="Calibri"/>
        <family val="2"/>
        <scheme val="minor"/>
      </font>
      <fill>
        <patternFill>
          <fgColor indexed="64"/>
          <bgColor theme="0"/>
        </patternFill>
      </fill>
    </dxf>
    <dxf>
      <font>
        <strike val="0"/>
        <outline val="0"/>
        <shadow val="0"/>
        <u val="none"/>
        <vertAlign val="baseline"/>
        <sz val="11"/>
        <color theme="0"/>
        <name val="Calibri"/>
        <family val="2"/>
        <scheme val="minor"/>
      </font>
      <fill>
        <patternFill>
          <fgColor indexed="64"/>
          <bgColor theme="0"/>
        </patternFill>
      </fill>
    </dxf>
  </dxfs>
  <tableStyles count="0" defaultTableStyle="TableStyleMedium2" defaultPivotStyle="PivotStyleLight16"/>
  <colors>
    <mruColors>
      <color rgb="FFFCE5D8"/>
      <color rgb="FFFF8B8B"/>
      <color rgb="FFC65911"/>
      <color rgb="FFFCE4D6"/>
      <color rgb="FF4580BE"/>
      <color rgb="FF4580FF"/>
      <color rgb="FFBCCEBC"/>
      <color rgb="FF87A686"/>
      <color rgb="FFFEDD79"/>
      <color rgb="FF3998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10" Type="http://schemas.openxmlformats.org/officeDocument/2006/relationships/externalLink" Target="externalLinks/externalLink6.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857250</xdr:colOff>
      <xdr:row>0</xdr:row>
      <xdr:rowOff>88106</xdr:rowOff>
    </xdr:from>
    <xdr:to>
      <xdr:col>4</xdr:col>
      <xdr:colOff>523875</xdr:colOff>
      <xdr:row>5</xdr:row>
      <xdr:rowOff>119062</xdr:rowOff>
    </xdr:to>
    <xdr:pic>
      <xdr:nvPicPr>
        <xdr:cNvPr id="3" name="Picture 2">
          <a:extLst>
            <a:ext uri="{FF2B5EF4-FFF2-40B4-BE49-F238E27FC236}">
              <a16:creationId xmlns:a16="http://schemas.microsoft.com/office/drawing/2014/main" id="{94296B38-52C6-41B8-824E-5611007BF9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031" y="88106"/>
          <a:ext cx="1678781" cy="12453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H:\Lisa's%20Place\_In%20Progress\Website%20Templates\Self%20Studies\Self-Study%20Report%202024%20Master.xlsx" TargetMode="External"/><Relationship Id="rId1" Type="http://schemas.openxmlformats.org/officeDocument/2006/relationships/externalLinkPath" Target="Self-Study%20Report%202024%20Master.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Standard_III-Affiliate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Standard_III-Preceptor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Lisa's%20Place/2015%20SSR/_600000%20Sample%20SSR/CSSR%202020.06.01.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Standard_IV-Evaluation"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Standard_V-Fair_Practice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Title"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Program_Info"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Standard_I-Sponsorship"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Standard_II-Goa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Standard_III-Resource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Standard_III-Personnel"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Title Page"/>
      <sheetName val="Program Info"/>
      <sheetName val="Standard I-Sponsorship"/>
      <sheetName val="Standard II-Goals"/>
      <sheetName val="Standard III-Resources"/>
      <sheetName val="Standard III-Personnel"/>
      <sheetName val="Standard III-Affiliates"/>
      <sheetName val="Standard III-Preceptors"/>
      <sheetName val="Standard IV-Evaluation"/>
      <sheetName val="Standard V-Fair Practices"/>
      <sheetName val="Alternate &amp; Satellite Locations"/>
    </sheetNames>
    <sheetDataSet>
      <sheetData sheetId="0">
        <row r="3">
          <cell r="S3">
            <v>7</v>
          </cell>
        </row>
        <row r="4">
          <cell r="S4">
            <v>9</v>
          </cell>
        </row>
        <row r="5">
          <cell r="S5">
            <v>10</v>
          </cell>
        </row>
        <row r="6">
          <cell r="S6">
            <v>61</v>
          </cell>
        </row>
        <row r="7">
          <cell r="S7">
            <v>15</v>
          </cell>
        </row>
        <row r="8">
          <cell r="S8">
            <v>15</v>
          </cell>
        </row>
        <row r="9">
          <cell r="S9">
            <v>15</v>
          </cell>
        </row>
        <row r="10">
          <cell r="S10">
            <v>13</v>
          </cell>
        </row>
        <row r="11">
          <cell r="S11">
            <v>15</v>
          </cell>
        </row>
        <row r="12">
          <cell r="A12" t="str">
            <v>Initial Accreditation</v>
          </cell>
          <cell r="S12">
            <v>15</v>
          </cell>
        </row>
        <row r="13">
          <cell r="S13">
            <v>15</v>
          </cell>
        </row>
      </sheetData>
      <sheetData sheetId="1"/>
      <sheetData sheetId="2"/>
      <sheetData sheetId="3">
        <row r="13">
          <cell r="S13" t="str">
            <v>Please Select</v>
          </cell>
        </row>
        <row r="14">
          <cell r="S14" t="str">
            <v>Ambulance Services</v>
          </cell>
        </row>
        <row r="15">
          <cell r="S15" t="str">
            <v>Community College</v>
          </cell>
        </row>
        <row r="16">
          <cell r="S16" t="str">
            <v>Consortium</v>
          </cell>
        </row>
        <row r="17">
          <cell r="S17" t="str">
            <v>County/Municipality</v>
          </cell>
        </row>
        <row r="18">
          <cell r="S18" t="str">
            <v>Fire Services</v>
          </cell>
        </row>
        <row r="19">
          <cell r="S19" t="str">
            <v>Hospital Based</v>
          </cell>
        </row>
        <row r="20">
          <cell r="S20" t="str">
            <v>Junior College</v>
          </cell>
          <cell r="V20" t="str">
            <v>Please Select</v>
          </cell>
        </row>
        <row r="21">
          <cell r="S21" t="str">
            <v>Military</v>
          </cell>
          <cell r="V21" t="str">
            <v>Federal Government</v>
          </cell>
        </row>
        <row r="22">
          <cell r="S22" t="str">
            <v>Technical College</v>
          </cell>
          <cell r="V22" t="str">
            <v>Private/For Profit</v>
          </cell>
        </row>
        <row r="23">
          <cell r="S23" t="str">
            <v>University</v>
          </cell>
          <cell r="V23" t="str">
            <v>Private/Not for Profit</v>
          </cell>
        </row>
        <row r="24">
          <cell r="S24" t="str">
            <v>Vocational School</v>
          </cell>
          <cell r="V24" t="str">
            <v>Public/For Profit</v>
          </cell>
        </row>
        <row r="25">
          <cell r="V25" t="str">
            <v>Public/Not for Profit</v>
          </cell>
        </row>
        <row r="26">
          <cell r="V26" t="str">
            <v>State, County, or Local Government</v>
          </cell>
        </row>
      </sheetData>
      <sheetData sheetId="4"/>
      <sheetData sheetId="5"/>
      <sheetData sheetId="6"/>
      <sheetData sheetId="7"/>
      <sheetData sheetId="8"/>
      <sheetData sheetId="9"/>
      <sheetData sheetId="10"/>
      <sheetData sheetId="1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ndard_III-Affiliate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ndard_III-Preceptor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Title Page"/>
      <sheetName val="Program Info"/>
      <sheetName val="Standard I-Sponsorship"/>
      <sheetName val="Standard II-Goals"/>
      <sheetName val="Standard III-Resources"/>
      <sheetName val="Standard III-Personnel"/>
      <sheetName val="Standard III-Affiliates"/>
      <sheetName val="Standard III-Preceptors"/>
      <sheetName val="Standard IV-Evaluation"/>
      <sheetName val="Standard V-Fair Practices"/>
      <sheetName val="Satellites"/>
    </sheetNames>
    <sheetDataSet>
      <sheetData sheetId="0">
        <row r="21">
          <cell r="C21" t="str">
            <v>SSR Revised 2020.06</v>
          </cell>
        </row>
      </sheetData>
      <sheetData sheetId="1" refreshError="1"/>
      <sheetData sheetId="2" refreshError="1"/>
      <sheetData sheetId="3">
        <row r="5">
          <cell r="S5" t="str">
            <v>Please Select</v>
          </cell>
          <cell r="V5" t="str">
            <v>Please Select</v>
          </cell>
        </row>
        <row r="6">
          <cell r="S6" t="str">
            <v>Ambulance Services</v>
          </cell>
          <cell r="V6" t="str">
            <v>Federal Government</v>
          </cell>
        </row>
        <row r="7">
          <cell r="S7" t="str">
            <v>Community College</v>
          </cell>
          <cell r="V7" t="str">
            <v>Private - For Profit</v>
          </cell>
        </row>
        <row r="8">
          <cell r="S8" t="str">
            <v>Consortium</v>
          </cell>
          <cell r="V8" t="str">
            <v>Private - Not For Profit</v>
          </cell>
        </row>
        <row r="9">
          <cell r="S9" t="str">
            <v>County/Municipality</v>
          </cell>
          <cell r="V9" t="str">
            <v>Public - Not For Profit</v>
          </cell>
        </row>
        <row r="10">
          <cell r="S10" t="str">
            <v>Fire Services</v>
          </cell>
          <cell r="V10" t="str">
            <v>State, County, or Local Government</v>
          </cell>
        </row>
        <row r="11">
          <cell r="S11" t="str">
            <v>Hospital Based</v>
          </cell>
        </row>
        <row r="12">
          <cell r="S12" t="str">
            <v>Junior College</v>
          </cell>
        </row>
        <row r="13">
          <cell r="S13" t="str">
            <v>Military</v>
          </cell>
        </row>
        <row r="14">
          <cell r="S14" t="str">
            <v>Technical College</v>
          </cell>
        </row>
        <row r="15">
          <cell r="S15" t="str">
            <v>University</v>
          </cell>
        </row>
        <row r="16">
          <cell r="S16" t="str">
            <v>Vocational School</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ndard_IV-Evaluation"/>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ndard_V-Fair_Practice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_Info"/>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ndard_I-Sponsorship"/>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ndard_II-Goal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ndard_III-Resources"/>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ndard_III-Personnel"/>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F9472D-9E6B-4E03-B83B-AB8BBA19C676}" name="tbl_choices" displayName="tbl_choices" ref="AG1:AK22" totalsRowShown="0" headerRowDxfId="779" dataDxfId="778">
  <autoFilter ref="AG1:AK22" xr:uid="{6AF9472D-9E6B-4E03-B83B-AB8BBA19C676}"/>
  <tableColumns count="5">
    <tableColumn id="1" xr3:uid="{3E42AD03-98ED-4009-A35E-2ED9AC3C4DB7}" name="U.S. Post-secondary institution (Standard I.A.1)" dataDxfId="777"/>
    <tableColumn id="2" xr3:uid="{0056E309-8F18-4DF7-926F-77038342DC86}" name="Outside U.S. Post-Secondary Institution (Standard I.A.2)" dataDxfId="776"/>
    <tableColumn id="3" xr3:uid="{FC532DA4-5011-4429-9826-2E2DD7EA24BF}" name="Hospital, clinic, or medical center (Standard I.A.3)" dataDxfId="775"/>
    <tableColumn id="4" xr3:uid="{389FA24B-16E8-4D93-8FAE-54173ED836EE}" name="Governmental education federal, state, local/municipal (Standard I.A.4)" dataDxfId="774"/>
    <tableColumn id="7" xr3:uid="{6D2CCB55-1055-40BE-95A4-4D6FE7A62E09}" name="Branch of the United States Armed Forces (Standard I.A.4)" dataDxfId="77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2024 Branding">
      <a:dk1>
        <a:sysClr val="windowText" lastClr="000000"/>
      </a:dk1>
      <a:lt1>
        <a:sysClr val="window" lastClr="FFFFFF"/>
      </a:lt1>
      <a:dk2>
        <a:srgbClr val="44546A"/>
      </a:dk2>
      <a:lt2>
        <a:srgbClr val="E7E6E6"/>
      </a:lt2>
      <a:accent1>
        <a:srgbClr val="4581BE"/>
      </a:accent1>
      <a:accent2>
        <a:srgbClr val="1E284E"/>
      </a:accent2>
      <a:accent3>
        <a:srgbClr val="A8001F"/>
      </a:accent3>
      <a:accent4>
        <a:srgbClr val="106359"/>
      </a:accent4>
      <a:accent5>
        <a:srgbClr val="ECB900"/>
      </a:accent5>
      <a:accent6>
        <a:srgbClr val="7B8283"/>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coaemsp.org/Fees.htm" TargetMode="External"/><Relationship Id="rId7" Type="http://schemas.openxmlformats.org/officeDocument/2006/relationships/vmlDrawing" Target="../drawings/vmlDrawing1.vml"/><Relationship Id="rId2" Type="http://schemas.openxmlformats.org/officeDocument/2006/relationships/hyperlink" Target="https://coaemsp.org/?mdocs-file=11226" TargetMode="External"/><Relationship Id="rId1" Type="http://schemas.openxmlformats.org/officeDocument/2006/relationships/hyperlink" Target="http://coaemsp.org/Self_Study_Reports.ht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Accounting@coaemsp.org"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coaemsp.org/resource-library" TargetMode="External"/><Relationship Id="rId13" Type="http://schemas.openxmlformats.org/officeDocument/2006/relationships/vmlDrawing" Target="../drawings/vmlDrawing3.vml"/><Relationship Id="rId3" Type="http://schemas.openxmlformats.org/officeDocument/2006/relationships/hyperlink" Target="file:///\\COA-AS\GoldMine\MailBox\Attach\2023\04\Documentation\14%20Syllabus%2017.pdf" TargetMode="External"/><Relationship Id="rId7" Type="http://schemas.openxmlformats.org/officeDocument/2006/relationships/hyperlink" Target="https://coaemsp.org/resource-library" TargetMode="External"/><Relationship Id="rId12" Type="http://schemas.openxmlformats.org/officeDocument/2006/relationships/printerSettings" Target="../printerSettings/printerSettings3.bin"/><Relationship Id="rId2" Type="http://schemas.openxmlformats.org/officeDocument/2006/relationships/hyperlink" Target="https://coaemsp.org/samples-accreditation-documents" TargetMode="External"/><Relationship Id="rId1" Type="http://schemas.openxmlformats.org/officeDocument/2006/relationships/hyperlink" Target="https://coaemsp.org/resource-library" TargetMode="External"/><Relationship Id="rId6" Type="http://schemas.openxmlformats.org/officeDocument/2006/relationships/hyperlink" Target="file:///\\COA-AS\GoldMine\MailBox\Attach\2023\04\Documentation\14%20Syllabus%2018.pdf" TargetMode="External"/><Relationship Id="rId11" Type="http://schemas.openxmlformats.org/officeDocument/2006/relationships/hyperlink" Target="https://coaemsp.org/resource-library" TargetMode="External"/><Relationship Id="rId5" Type="http://schemas.openxmlformats.org/officeDocument/2006/relationships/hyperlink" Target="file:///\\COA-AS\GoldMine\MailBox\Attach\2023\04\Documentation\14%20Syllabus%2017.pdf" TargetMode="External"/><Relationship Id="rId15" Type="http://schemas.openxmlformats.org/officeDocument/2006/relationships/comments" Target="../comments3.xml"/><Relationship Id="rId10" Type="http://schemas.openxmlformats.org/officeDocument/2006/relationships/hyperlink" Target="https://coaemsp.org/Forms.htm" TargetMode="External"/><Relationship Id="rId4" Type="http://schemas.openxmlformats.org/officeDocument/2006/relationships/hyperlink" Target="file:///\\COA-AS\GoldMine\MailBox\Attach\2023\04\Documentation\14%20Syllabus%2018.pdf" TargetMode="External"/><Relationship Id="rId9" Type="http://schemas.openxmlformats.org/officeDocument/2006/relationships/hyperlink" Target="https://coaemsp.org/resource-library" TargetMode="External"/><Relationship Id="rId1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D60C5-BC1D-49E0-914E-14BEE263AD56}">
  <sheetPr>
    <tabColor theme="6" tint="0.79998168889431442"/>
    <pageSetUpPr fitToPage="1"/>
  </sheetPr>
  <dimension ref="A1:O44"/>
  <sheetViews>
    <sheetView showGridLines="0" tabSelected="1" zoomScaleNormal="100" workbookViewId="0">
      <selection activeCell="B24" sqref="B24:F24"/>
    </sheetView>
  </sheetViews>
  <sheetFormatPr defaultRowHeight="14.5" x14ac:dyDescent="0.35"/>
  <cols>
    <col min="1" max="1" width="4.7265625" customWidth="1"/>
    <col min="2" max="2" width="5.81640625" customWidth="1"/>
    <col min="3" max="3" width="26.1796875" customWidth="1"/>
    <col min="4" max="4" width="4.1796875" customWidth="1"/>
    <col min="5" max="5" width="21.26953125" customWidth="1"/>
    <col min="6" max="6" width="91.26953125" customWidth="1"/>
    <col min="7" max="7" width="12.81640625" customWidth="1"/>
    <col min="8" max="8" width="14.1796875" customWidth="1"/>
    <col min="9" max="9" width="14.7265625" customWidth="1"/>
    <col min="10" max="10" width="14.453125" customWidth="1"/>
    <col min="11" max="11" width="18.81640625" customWidth="1"/>
    <col min="12" max="13" width="20.7265625" customWidth="1"/>
    <col min="14" max="14" width="12.81640625" customWidth="1"/>
    <col min="15" max="15" width="14.7265625" customWidth="1"/>
    <col min="16" max="16" width="13.26953125" customWidth="1"/>
    <col min="17" max="19" width="13.453125" customWidth="1"/>
    <col min="28" max="28" width="24.7265625" customWidth="1"/>
    <col min="37" max="37" width="24.7265625" customWidth="1"/>
    <col min="46" max="46" width="24.7265625" customWidth="1"/>
    <col min="55" max="55" width="24.7265625" customWidth="1"/>
    <col min="64" max="64" width="24.7265625" customWidth="1"/>
    <col min="73" max="73" width="24.7265625" customWidth="1"/>
    <col min="82" max="82" width="24.7265625" customWidth="1"/>
    <col min="91" max="91" width="24.7265625" customWidth="1"/>
    <col min="100" max="100" width="24.7265625" customWidth="1"/>
    <col min="109" max="109" width="24.7265625" customWidth="1"/>
  </cols>
  <sheetData>
    <row r="1" spans="1:11" ht="24" customHeight="1" x14ac:dyDescent="0.4">
      <c r="B1" s="1"/>
      <c r="K1" s="2" t="s">
        <v>267</v>
      </c>
    </row>
    <row r="2" spans="1:11" ht="17.5" x14ac:dyDescent="0.35">
      <c r="E2" s="217" t="s">
        <v>118</v>
      </c>
      <c r="F2" s="217"/>
    </row>
    <row r="3" spans="1:11" ht="17.5" x14ac:dyDescent="0.35">
      <c r="E3" s="217" t="s">
        <v>119</v>
      </c>
      <c r="F3" s="217"/>
    </row>
    <row r="4" spans="1:11" ht="17.5" x14ac:dyDescent="0.35">
      <c r="E4" s="217" t="s">
        <v>120</v>
      </c>
      <c r="F4" s="217"/>
    </row>
    <row r="5" spans="1:11" ht="17.5" x14ac:dyDescent="0.35">
      <c r="E5" s="217" t="s">
        <v>121</v>
      </c>
      <c r="F5" s="217"/>
    </row>
    <row r="8" spans="1:11" x14ac:dyDescent="0.35">
      <c r="B8" s="129"/>
      <c r="C8" s="129"/>
      <c r="F8" s="129"/>
    </row>
    <row r="9" spans="1:11" ht="45" x14ac:dyDescent="0.9">
      <c r="A9" s="218" t="s">
        <v>249</v>
      </c>
      <c r="B9" s="218"/>
      <c r="C9" s="218"/>
      <c r="D9" s="218"/>
      <c r="E9" s="218"/>
      <c r="F9" s="218"/>
    </row>
    <row r="10" spans="1:11" x14ac:dyDescent="0.35">
      <c r="B10" s="129"/>
      <c r="C10" s="129"/>
      <c r="F10" s="129"/>
    </row>
    <row r="11" spans="1:11" ht="28.5" x14ac:dyDescent="0.65">
      <c r="A11" s="212" t="s">
        <v>248</v>
      </c>
      <c r="B11" s="212"/>
      <c r="C11" s="212"/>
      <c r="D11" s="212"/>
      <c r="E11" s="212"/>
      <c r="F11" s="212"/>
    </row>
    <row r="12" spans="1:11" x14ac:dyDescent="0.35">
      <c r="B12" s="129"/>
      <c r="C12" s="129"/>
      <c r="F12" s="129"/>
    </row>
    <row r="13" spans="1:11" x14ac:dyDescent="0.35">
      <c r="B13" s="129"/>
      <c r="C13" s="129"/>
      <c r="F13" s="129"/>
    </row>
    <row r="14" spans="1:11" ht="30" x14ac:dyDescent="0.6">
      <c r="A14" s="213" t="s">
        <v>122</v>
      </c>
      <c r="B14" s="213"/>
      <c r="C14" s="213"/>
      <c r="D14" s="213"/>
      <c r="E14" s="213"/>
      <c r="F14" s="213"/>
    </row>
    <row r="16" spans="1:11" ht="47.25" customHeight="1" x14ac:dyDescent="0.35">
      <c r="A16" s="214" t="s">
        <v>9</v>
      </c>
      <c r="B16" s="215"/>
      <c r="C16" s="215"/>
      <c r="D16" s="215"/>
      <c r="E16" s="215"/>
      <c r="F16" s="215"/>
    </row>
    <row r="17" spans="2:15" ht="15" customHeight="1" x14ac:dyDescent="0.35">
      <c r="C17" s="2" t="s">
        <v>265</v>
      </c>
    </row>
    <row r="18" spans="2:15" ht="15.5" x14ac:dyDescent="0.35">
      <c r="B18" s="216" t="s">
        <v>123</v>
      </c>
      <c r="C18" s="216"/>
      <c r="D18" s="216"/>
      <c r="E18" s="216"/>
      <c r="F18" s="216"/>
    </row>
    <row r="19" spans="2:15" ht="7.5" customHeight="1" x14ac:dyDescent="0.35">
      <c r="H19" s="19"/>
      <c r="I19" s="19"/>
      <c r="J19" s="19"/>
      <c r="K19" s="18"/>
      <c r="L19" s="18"/>
      <c r="M19" s="18"/>
      <c r="N19" s="18"/>
      <c r="O19" s="18"/>
    </row>
    <row r="20" spans="2:15" ht="234.75" customHeight="1" x14ac:dyDescent="0.35">
      <c r="B20" s="224" t="s">
        <v>250</v>
      </c>
      <c r="C20" s="225"/>
      <c r="D20" s="225"/>
      <c r="E20" s="225"/>
      <c r="F20" s="225"/>
    </row>
    <row r="21" spans="2:15" ht="18.75" customHeight="1" x14ac:dyDescent="0.35">
      <c r="B21" s="130" t="s">
        <v>124</v>
      </c>
    </row>
    <row r="22" spans="2:15" ht="90.75" customHeight="1" x14ac:dyDescent="0.35">
      <c r="B22" s="226" t="s">
        <v>125</v>
      </c>
      <c r="C22" s="226"/>
      <c r="D22" s="226"/>
      <c r="E22" s="226"/>
      <c r="F22" s="226"/>
    </row>
    <row r="23" spans="2:15" ht="60" customHeight="1" x14ac:dyDescent="0.35">
      <c r="B23" s="227" t="s">
        <v>251</v>
      </c>
      <c r="C23" s="228"/>
      <c r="D23" s="228"/>
      <c r="E23" s="228"/>
      <c r="F23" s="228"/>
    </row>
    <row r="24" spans="2:15" ht="65.25" customHeight="1" x14ac:dyDescent="0.35">
      <c r="B24" s="229" t="s">
        <v>8</v>
      </c>
      <c r="C24" s="229"/>
      <c r="D24" s="229"/>
      <c r="E24" s="229"/>
      <c r="F24" s="229"/>
    </row>
    <row r="25" spans="2:15" ht="139.5" customHeight="1" x14ac:dyDescent="0.35">
      <c r="B25" s="230" t="s">
        <v>252</v>
      </c>
      <c r="C25" s="230"/>
      <c r="D25" s="230"/>
      <c r="E25" s="230"/>
      <c r="F25" s="230"/>
    </row>
    <row r="26" spans="2:15" ht="15" customHeight="1" x14ac:dyDescent="0.35">
      <c r="B26" s="24"/>
      <c r="C26" s="219" t="s">
        <v>6</v>
      </c>
      <c r="D26" s="220"/>
      <c r="E26" s="220"/>
      <c r="F26" s="220"/>
    </row>
    <row r="30" spans="2:15" x14ac:dyDescent="0.35">
      <c r="B30" s="130" t="s">
        <v>126</v>
      </c>
    </row>
    <row r="31" spans="2:15" ht="42.75" customHeight="1" x14ac:dyDescent="0.35">
      <c r="B31" s="221" t="s">
        <v>127</v>
      </c>
      <c r="C31" s="221"/>
      <c r="D31" s="221"/>
      <c r="E31" s="221"/>
      <c r="F31" s="221"/>
    </row>
    <row r="32" spans="2:15" x14ac:dyDescent="0.35">
      <c r="B32" s="131" t="s">
        <v>128</v>
      </c>
      <c r="C32" s="132" t="s">
        <v>129</v>
      </c>
      <c r="F32" s="133" t="s">
        <v>130</v>
      </c>
    </row>
    <row r="33" spans="2:6" x14ac:dyDescent="0.35">
      <c r="B33" s="134" t="s">
        <v>131</v>
      </c>
      <c r="C33" s="132" t="s">
        <v>132</v>
      </c>
    </row>
    <row r="36" spans="2:6" x14ac:dyDescent="0.35">
      <c r="B36" s="102"/>
    </row>
    <row r="37" spans="2:6" ht="49.5" customHeight="1" x14ac:dyDescent="0.35">
      <c r="B37" s="134" t="s">
        <v>128</v>
      </c>
      <c r="C37" s="135" t="s">
        <v>133</v>
      </c>
      <c r="E37" s="136"/>
      <c r="F37" s="222" t="s">
        <v>134</v>
      </c>
    </row>
    <row r="38" spans="2:6" ht="7.5" customHeight="1" x14ac:dyDescent="0.35">
      <c r="E38" s="136"/>
      <c r="F38" s="223"/>
    </row>
    <row r="39" spans="2:6" x14ac:dyDescent="0.35">
      <c r="F39" s="223"/>
    </row>
    <row r="44" spans="2:6" x14ac:dyDescent="0.35">
      <c r="C44" s="2"/>
    </row>
  </sheetData>
  <sheetProtection algorithmName="SHA-512" hashValue="EcHbnjoMMagHAfsZp5DRR0XCmthE8JMfvvWxLS71Nyg6lYBkpS1uSheGtgJ+LJC/7nKlGOo6qQM+EXmCoIr9Dg==" saltValue="VK7fY0wWpi5tul/977BcBw==" spinCount="100000" sheet="1" formatRows="0" insertHyperlinks="0" selectLockedCells="1"/>
  <mergeCells count="17">
    <mergeCell ref="C26:F26"/>
    <mergeCell ref="B31:F31"/>
    <mergeCell ref="F37:F39"/>
    <mergeCell ref="B20:F20"/>
    <mergeCell ref="B22:F22"/>
    <mergeCell ref="B23:F23"/>
    <mergeCell ref="B24:F24"/>
    <mergeCell ref="B25:F25"/>
    <mergeCell ref="A11:F11"/>
    <mergeCell ref="A14:F14"/>
    <mergeCell ref="A16:F16"/>
    <mergeCell ref="B18:F18"/>
    <mergeCell ref="E2:F2"/>
    <mergeCell ref="E3:F3"/>
    <mergeCell ref="E4:F4"/>
    <mergeCell ref="E5:F5"/>
    <mergeCell ref="A9:F9"/>
  </mergeCells>
  <hyperlinks>
    <hyperlink ref="B24" r:id="rId1" display="http://coaemsp.org/Self_Study_Reports.htm" xr:uid="{3D697A64-57B6-43DA-9CCA-2BC0B4BD6B49}"/>
    <hyperlink ref="B24:F24" r:id="rId2" display="Click Here For Step By Step Instructions" xr:uid="{412E49A5-2BFE-410A-A607-3CE30F810897}"/>
    <hyperlink ref="C33" r:id="rId3" xr:uid="{FB1B168D-8EF4-470F-8503-BF1ACDDE4918}"/>
    <hyperlink ref="C32" r:id="rId4" xr:uid="{5F68BB62-A598-4F85-BE27-EBEE3F544B1D}"/>
  </hyperlinks>
  <pageMargins left="0.7" right="0.7" top="0.75" bottom="0.75" header="0.3" footer="0.3"/>
  <pageSetup scale="39" fitToHeight="0" orientation="portrait" r:id="rId5"/>
  <drawing r:id="rId6"/>
  <legacyDrawing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9087C-B8FC-4E57-8646-8DFA642BBF66}">
  <sheetPr>
    <tabColor theme="7" tint="-0.249977111117893"/>
    <pageSetUpPr fitToPage="1"/>
  </sheetPr>
  <dimension ref="B1:DF103"/>
  <sheetViews>
    <sheetView showGridLines="0" zoomScaleNormal="100" workbookViewId="0">
      <selection activeCell="G70" sqref="G70"/>
    </sheetView>
  </sheetViews>
  <sheetFormatPr defaultRowHeight="14.5" x14ac:dyDescent="0.35"/>
  <cols>
    <col min="1" max="1" width="4.7265625" customWidth="1"/>
    <col min="2" max="2" width="3.453125" customWidth="1"/>
    <col min="3" max="3" width="27.81640625" customWidth="1"/>
    <col min="4" max="4" width="22.26953125" customWidth="1"/>
    <col min="5" max="5" width="14.7265625" customWidth="1"/>
    <col min="6" max="6" width="11.54296875" customWidth="1"/>
    <col min="7" max="7" width="12.81640625" customWidth="1"/>
    <col min="8" max="8" width="14.1796875" customWidth="1"/>
    <col min="9" max="9" width="14.7265625" customWidth="1"/>
    <col min="10" max="10" width="14.453125" customWidth="1"/>
    <col min="11" max="11" width="18.81640625" customWidth="1"/>
    <col min="12" max="13" width="20.7265625" customWidth="1"/>
    <col min="14" max="14" width="12.81640625" customWidth="1"/>
    <col min="15" max="15" width="14.7265625" customWidth="1"/>
    <col min="16" max="16" width="13.26953125" customWidth="1"/>
    <col min="17" max="19" width="13.453125" customWidth="1"/>
    <col min="28" max="28" width="24.7265625" customWidth="1"/>
    <col min="37" max="37" width="24.7265625" customWidth="1"/>
    <col min="46" max="46" width="24.7265625" customWidth="1"/>
    <col min="55" max="55" width="24.7265625" customWidth="1"/>
    <col min="64" max="64" width="24.7265625" customWidth="1"/>
    <col min="73" max="73" width="24.7265625" customWidth="1"/>
    <col min="82" max="82" width="24.7265625" customWidth="1"/>
    <col min="91" max="91" width="24.7265625" customWidth="1"/>
    <col min="100" max="100" width="24.7265625" customWidth="1"/>
    <col min="109" max="109" width="24.7265625" customWidth="1"/>
  </cols>
  <sheetData>
    <row r="1" spans="2:110" ht="24" customHeight="1" x14ac:dyDescent="0.4">
      <c r="B1" s="1"/>
      <c r="K1" s="2" t="str">
        <f>Instructions!C17</f>
        <v>LoR Application 2025.02</v>
      </c>
    </row>
    <row r="2" spans="2:110" x14ac:dyDescent="0.35">
      <c r="D2" s="240"/>
      <c r="E2" s="240"/>
      <c r="F2" s="240"/>
      <c r="G2" s="240"/>
      <c r="H2" s="240"/>
      <c r="I2" s="240"/>
      <c r="J2" s="240"/>
    </row>
    <row r="3" spans="2:110" x14ac:dyDescent="0.35">
      <c r="B3" s="3"/>
      <c r="C3" s="3"/>
      <c r="D3" s="3"/>
      <c r="E3" s="3"/>
      <c r="F3" s="3"/>
      <c r="G3" s="3"/>
      <c r="H3" s="3"/>
    </row>
    <row r="4" spans="2:110" ht="39" customHeight="1" x14ac:dyDescent="0.35">
      <c r="C4" s="259" t="s">
        <v>246</v>
      </c>
      <c r="D4" s="259"/>
      <c r="E4" s="259"/>
      <c r="F4" s="259"/>
      <c r="G4" s="259"/>
      <c r="H4" s="259"/>
      <c r="I4" s="259"/>
      <c r="J4" s="259"/>
      <c r="K4" s="259"/>
      <c r="L4" s="259"/>
      <c r="R4" s="22"/>
      <c r="S4" s="23"/>
      <c r="T4" s="8"/>
      <c r="AA4" s="22"/>
      <c r="AB4" s="23"/>
      <c r="AC4" s="8"/>
      <c r="AJ4" s="22"/>
      <c r="AK4" s="23"/>
      <c r="AL4" s="8"/>
      <c r="AS4" s="22"/>
      <c r="AT4" s="23"/>
      <c r="AU4" s="8"/>
      <c r="BB4" s="22"/>
      <c r="BC4" s="23"/>
      <c r="BD4" s="8"/>
      <c r="BK4" s="22"/>
      <c r="BL4" s="23"/>
      <c r="BM4" s="8"/>
      <c r="BT4" s="22"/>
      <c r="BU4" s="23"/>
      <c r="BV4" s="8"/>
      <c r="CC4" s="22"/>
      <c r="CD4" s="23"/>
      <c r="CE4" s="8"/>
      <c r="CL4" s="22"/>
      <c r="CM4" s="23"/>
      <c r="CN4" s="8"/>
      <c r="CU4" s="22"/>
      <c r="CV4" s="23"/>
      <c r="CW4" s="8"/>
      <c r="DD4" s="22"/>
      <c r="DE4" s="23"/>
      <c r="DF4" s="8"/>
    </row>
    <row r="5" spans="2:110" ht="4.5" customHeight="1" x14ac:dyDescent="0.35">
      <c r="H5" s="19"/>
      <c r="I5" s="19"/>
      <c r="J5" s="19"/>
      <c r="K5" s="18"/>
      <c r="L5" s="18"/>
      <c r="M5" s="18"/>
      <c r="N5" s="18"/>
      <c r="O5" s="18"/>
    </row>
    <row r="6" spans="2:110" s="8" customFormat="1" ht="30.75" customHeight="1" x14ac:dyDescent="0.35">
      <c r="C6" s="260" t="s">
        <v>14</v>
      </c>
      <c r="D6" s="260"/>
      <c r="E6" s="260"/>
      <c r="F6" s="260"/>
      <c r="G6" s="260"/>
      <c r="H6" s="260"/>
      <c r="I6" s="260"/>
      <c r="J6" s="260"/>
      <c r="K6" s="260"/>
      <c r="L6" s="260"/>
    </row>
    <row r="7" spans="2:110" ht="9" customHeight="1" x14ac:dyDescent="0.35">
      <c r="H7" s="19"/>
      <c r="I7" s="19"/>
      <c r="J7" s="19"/>
      <c r="K7" s="18"/>
      <c r="L7" s="18"/>
      <c r="M7" s="18"/>
      <c r="N7" s="18"/>
      <c r="O7" s="18"/>
    </row>
    <row r="8" spans="2:110" ht="12.75" customHeight="1" x14ac:dyDescent="0.35">
      <c r="H8" s="19"/>
      <c r="I8" s="19"/>
      <c r="J8" s="19"/>
      <c r="K8" s="18"/>
      <c r="L8" s="18"/>
      <c r="M8" s="18"/>
      <c r="N8" s="18"/>
      <c r="O8" s="18"/>
    </row>
    <row r="9" spans="2:110" ht="15.5" x14ac:dyDescent="0.35">
      <c r="B9" s="6"/>
      <c r="C9" s="197" t="s">
        <v>12</v>
      </c>
      <c r="D9" s="247"/>
      <c r="E9" s="248"/>
      <c r="F9" s="248"/>
      <c r="G9" s="248"/>
      <c r="H9" s="248"/>
      <c r="I9" s="248"/>
      <c r="J9" s="248"/>
      <c r="K9" s="248"/>
      <c r="L9" s="249"/>
    </row>
    <row r="11" spans="2:110" ht="36.75" customHeight="1" x14ac:dyDescent="0.35">
      <c r="B11" s="6"/>
      <c r="C11" s="25" t="s">
        <v>13</v>
      </c>
      <c r="D11" s="243"/>
      <c r="E11" s="244"/>
      <c r="F11" s="244"/>
      <c r="G11" s="244"/>
      <c r="H11" s="244"/>
      <c r="I11" s="244"/>
      <c r="J11" s="244"/>
      <c r="K11" s="244"/>
      <c r="L11" s="245"/>
    </row>
    <row r="13" spans="2:110" ht="15.5" x14ac:dyDescent="0.35">
      <c r="C13" s="25" t="s">
        <v>1</v>
      </c>
      <c r="D13" s="34"/>
      <c r="E13" s="26" t="s">
        <v>2</v>
      </c>
      <c r="F13" s="35"/>
      <c r="G13" s="26" t="s">
        <v>3</v>
      </c>
      <c r="H13" s="36"/>
    </row>
    <row r="14" spans="2:110" ht="24.75" customHeight="1" x14ac:dyDescent="0.35">
      <c r="H14" s="19"/>
      <c r="I14" s="19"/>
      <c r="J14" s="19"/>
      <c r="K14" s="18"/>
      <c r="L14" s="18"/>
      <c r="M14" s="18"/>
      <c r="N14" s="18"/>
      <c r="O14" s="18"/>
    </row>
    <row r="15" spans="2:110" ht="24" customHeight="1" x14ac:dyDescent="0.35">
      <c r="H15" s="19"/>
      <c r="I15" s="19"/>
      <c r="J15" s="19"/>
      <c r="K15" s="18"/>
      <c r="L15" s="18"/>
      <c r="M15" s="18"/>
      <c r="N15" s="18"/>
      <c r="O15" s="18"/>
    </row>
    <row r="16" spans="2:110" s="8" customFormat="1" ht="30.75" customHeight="1" x14ac:dyDescent="0.35">
      <c r="C16" s="251" t="s">
        <v>10</v>
      </c>
      <c r="D16" s="251"/>
      <c r="E16" s="251"/>
      <c r="F16" s="251"/>
      <c r="G16" s="251"/>
      <c r="H16" s="251"/>
      <c r="I16" s="251"/>
      <c r="J16" s="251"/>
      <c r="K16" s="251"/>
      <c r="L16" s="251"/>
    </row>
    <row r="17" spans="2:15" ht="7.5" customHeight="1" x14ac:dyDescent="0.35">
      <c r="H17" s="19"/>
      <c r="I17" s="19"/>
      <c r="J17" s="19"/>
      <c r="K17" s="18"/>
      <c r="L17" s="18"/>
      <c r="M17" s="18"/>
      <c r="N17" s="18"/>
      <c r="O17" s="18"/>
    </row>
    <row r="18" spans="2:15" ht="12.75" customHeight="1" x14ac:dyDescent="0.35">
      <c r="H18" s="19"/>
      <c r="I18" s="19"/>
      <c r="J18" s="19"/>
      <c r="K18" s="18"/>
      <c r="L18" s="18"/>
      <c r="M18" s="18"/>
      <c r="N18" s="18"/>
      <c r="O18" s="18"/>
    </row>
    <row r="19" spans="2:15" ht="50.25" customHeight="1" x14ac:dyDescent="0.35">
      <c r="B19" s="31"/>
      <c r="C19" s="49" t="s">
        <v>28</v>
      </c>
      <c r="G19" s="50" t="s">
        <v>4</v>
      </c>
      <c r="H19" s="32" t="str">
        <f>IF(G19="", " &lt;=== Select from drop down list","")</f>
        <v/>
      </c>
    </row>
    <row r="21" spans="2:15" ht="33.75" customHeight="1" x14ac:dyDescent="0.35">
      <c r="B21" s="6"/>
      <c r="C21" s="41" t="s">
        <v>29</v>
      </c>
      <c r="D21" s="72"/>
      <c r="E21" s="46" t="s">
        <v>266</v>
      </c>
    </row>
    <row r="23" spans="2:15" ht="31" x14ac:dyDescent="0.35">
      <c r="B23" s="6"/>
      <c r="C23" s="41" t="s">
        <v>42</v>
      </c>
      <c r="D23" s="247"/>
      <c r="E23" s="248"/>
      <c r="F23" s="248"/>
      <c r="G23" s="248"/>
      <c r="H23" s="248"/>
      <c r="I23" s="248"/>
      <c r="J23" s="248"/>
      <c r="K23" s="248"/>
      <c r="L23" s="249"/>
    </row>
    <row r="25" spans="2:15" ht="36.75" customHeight="1" x14ac:dyDescent="0.35">
      <c r="B25" s="6"/>
      <c r="C25" s="41" t="str">
        <f>IF(G19="No","                  Paramedic 
           Program  Address:","")</f>
        <v/>
      </c>
      <c r="D25" s="250"/>
      <c r="E25" s="250"/>
      <c r="F25" s="250"/>
      <c r="G25" s="250"/>
      <c r="H25" s="250"/>
      <c r="I25" s="250"/>
      <c r="J25" s="250"/>
      <c r="K25" s="250"/>
      <c r="L25" s="250"/>
    </row>
    <row r="27" spans="2:15" ht="15.5" x14ac:dyDescent="0.35">
      <c r="C27" s="25" t="str">
        <f>IF(G19="No","City:","")</f>
        <v/>
      </c>
      <c r="D27" s="42"/>
      <c r="E27" s="26" t="str">
        <f>IF(G19="No","State:","")</f>
        <v/>
      </c>
      <c r="F27" s="43"/>
      <c r="G27" s="26" t="str">
        <f>IF(G19="No","Zip:","")</f>
        <v/>
      </c>
      <c r="H27" s="44"/>
    </row>
    <row r="28" spans="2:15" ht="12.75" customHeight="1" x14ac:dyDescent="0.35">
      <c r="H28" s="19"/>
      <c r="I28" s="19"/>
      <c r="J28" s="19"/>
      <c r="K28" s="18"/>
      <c r="L28" s="18"/>
      <c r="M28" s="18"/>
      <c r="N28" s="18"/>
      <c r="O28" s="18"/>
    </row>
    <row r="30" spans="2:15" ht="12.75" customHeight="1" x14ac:dyDescent="0.35">
      <c r="H30" s="19"/>
      <c r="I30" s="19"/>
      <c r="J30" s="19"/>
      <c r="K30" s="18"/>
      <c r="L30" s="18"/>
      <c r="M30" s="18"/>
      <c r="N30" s="18"/>
      <c r="O30" s="18"/>
    </row>
    <row r="31" spans="2:15" s="8" customFormat="1" ht="30.75" customHeight="1" x14ac:dyDescent="0.35">
      <c r="B31" s="246" t="s">
        <v>11</v>
      </c>
      <c r="C31" s="246"/>
      <c r="D31" s="246"/>
      <c r="E31" s="246"/>
      <c r="F31" s="246"/>
      <c r="G31" s="246"/>
      <c r="H31" s="246"/>
      <c r="I31" s="246"/>
      <c r="J31" s="246"/>
      <c r="K31" s="246"/>
      <c r="L31" s="246"/>
    </row>
    <row r="32" spans="2:15" ht="9" customHeight="1" x14ac:dyDescent="0.35">
      <c r="H32" s="19"/>
      <c r="I32" s="19"/>
      <c r="J32" s="19"/>
      <c r="K32" s="18"/>
      <c r="L32" s="18"/>
      <c r="M32" s="18"/>
      <c r="N32" s="18"/>
      <c r="O32" s="18"/>
    </row>
    <row r="33" spans="2:15" x14ac:dyDescent="0.35">
      <c r="B33" s="28"/>
      <c r="C33" s="28"/>
      <c r="D33" s="28"/>
      <c r="E33" s="28"/>
      <c r="F33" s="28"/>
      <c r="G33" s="28"/>
      <c r="H33" s="28"/>
      <c r="I33" s="28"/>
      <c r="J33" s="28"/>
      <c r="K33" s="28"/>
      <c r="L33" s="28"/>
    </row>
    <row r="34" spans="2:15" ht="33.75" customHeight="1" x14ac:dyDescent="0.35">
      <c r="B34" s="6"/>
      <c r="C34" s="41" t="s">
        <v>43</v>
      </c>
      <c r="D34" s="33"/>
      <c r="E34" s="46" t="s">
        <v>247</v>
      </c>
    </row>
    <row r="35" spans="2:15" x14ac:dyDescent="0.35">
      <c r="B35" s="28"/>
      <c r="C35" s="28"/>
      <c r="D35" s="28"/>
      <c r="E35" s="28"/>
      <c r="F35" s="28"/>
      <c r="G35" s="28"/>
      <c r="H35" s="28"/>
      <c r="I35" s="28"/>
      <c r="J35" s="28"/>
      <c r="K35" s="28"/>
      <c r="L35" s="28"/>
    </row>
    <row r="36" spans="2:15" ht="15.5" x14ac:dyDescent="0.35">
      <c r="B36" s="27"/>
      <c r="C36" s="108" t="s">
        <v>25</v>
      </c>
      <c r="D36" s="247"/>
      <c r="E36" s="248"/>
      <c r="F36" s="248"/>
      <c r="G36" s="248"/>
      <c r="H36" s="248"/>
      <c r="I36" s="248"/>
      <c r="J36" s="248"/>
      <c r="K36" s="248"/>
      <c r="L36" s="249"/>
    </row>
    <row r="37" spans="2:15" ht="15" customHeight="1" x14ac:dyDescent="0.35"/>
    <row r="38" spans="2:15" s="28" customFormat="1" ht="16" customHeight="1" x14ac:dyDescent="0.3">
      <c r="C38" s="108" t="s">
        <v>253</v>
      </c>
      <c r="D38" s="261"/>
      <c r="E38" s="262"/>
      <c r="F38" s="262"/>
      <c r="G38" s="262"/>
      <c r="H38" s="262"/>
      <c r="I38" s="262"/>
      <c r="J38" s="262"/>
      <c r="K38" s="262"/>
      <c r="L38" s="263"/>
    </row>
    <row r="39" spans="2:15" ht="15" customHeight="1" x14ac:dyDescent="0.35"/>
    <row r="40" spans="2:15" ht="42.75" customHeight="1" x14ac:dyDescent="0.35">
      <c r="B40" s="31"/>
      <c r="C40" s="233" t="str">
        <f>IF(G19="Yes","Will the AEMT program be offered at the Sponsor address listed above?",IF(G19="No","Will the AEMT program be offered at either the Sponsor address or Paramedic program address listed above?",""))</f>
        <v/>
      </c>
      <c r="D40" s="233"/>
      <c r="E40" s="233"/>
      <c r="F40" s="233"/>
      <c r="G40" s="48"/>
      <c r="H40" s="32" t="str">
        <f>IF(OR(AND(G19="Yes",G40=""),AND(G19="No",G40="")), " &lt;=== Select from drop down list","")</f>
        <v/>
      </c>
    </row>
    <row r="41" spans="2:15" x14ac:dyDescent="0.35">
      <c r="B41" s="28"/>
      <c r="C41" s="28"/>
      <c r="D41" s="28"/>
      <c r="E41" s="28"/>
      <c r="F41" s="28"/>
      <c r="G41" s="28"/>
      <c r="H41" s="28"/>
      <c r="I41" s="28"/>
      <c r="J41" s="28"/>
      <c r="K41" s="28"/>
      <c r="L41" s="28"/>
    </row>
    <row r="42" spans="2:15" ht="42.75" customHeight="1" x14ac:dyDescent="0.35">
      <c r="B42" s="31"/>
      <c r="C42" s="233" t="str">
        <f>IF(AND(G19="No",G40="Yes"),"Which address listed above will the AEMT program be offered?",IF(OR(AND(G19="No",G40="No"),AND(G19="Yes",G40="No")),"Provide the address where the AEMT program will be offered:",""))</f>
        <v/>
      </c>
      <c r="D42" s="233"/>
      <c r="E42" s="233"/>
      <c r="F42" s="233"/>
      <c r="G42" s="48"/>
      <c r="H42" s="32" t="str">
        <f>IF(AND(G19="No",G40="Yes",G42=""), " &lt;=== Select from drop down list","")</f>
        <v/>
      </c>
    </row>
    <row r="43" spans="2:15" x14ac:dyDescent="0.35">
      <c r="B43" s="28"/>
      <c r="C43" s="28"/>
      <c r="D43" s="28"/>
      <c r="E43" s="28"/>
      <c r="F43" s="28"/>
      <c r="G43" s="28"/>
      <c r="H43" s="28"/>
      <c r="I43" s="28"/>
      <c r="J43" s="28"/>
      <c r="K43" s="28"/>
      <c r="L43" s="28"/>
    </row>
    <row r="44" spans="2:15" ht="36.75" customHeight="1" x14ac:dyDescent="0.35">
      <c r="B44" s="29"/>
      <c r="C44" s="25" t="str">
        <f>IF(OR(AND(G19="No",G40="Yes",G42="Neither"),AND(G19="No",G40="No"),AND(G19="Yes",G40="No")),"AEMT Program Address:","")</f>
        <v/>
      </c>
      <c r="D44" s="250"/>
      <c r="E44" s="250"/>
      <c r="F44" s="250"/>
      <c r="G44" s="250"/>
      <c r="H44" s="250"/>
      <c r="I44" s="250"/>
      <c r="J44" s="250"/>
      <c r="K44" s="250"/>
      <c r="L44" s="250"/>
    </row>
    <row r="45" spans="2:15" x14ac:dyDescent="0.35">
      <c r="B45" s="28"/>
      <c r="C45" s="28"/>
      <c r="D45" s="28"/>
      <c r="E45" s="28"/>
      <c r="F45" s="28"/>
      <c r="G45" s="28"/>
      <c r="H45" s="28"/>
      <c r="I45" s="28"/>
      <c r="J45" s="28"/>
      <c r="K45" s="28"/>
      <c r="L45" s="28"/>
    </row>
    <row r="46" spans="2:15" ht="15.5" x14ac:dyDescent="0.35">
      <c r="B46" s="28"/>
      <c r="C46" s="25" t="str">
        <f>IF(OR(AND(G19="No",G40="Yes",G42="Neither"),AND(G19="No",G40="No"),AND(G19="Yes",G40="No")),"City:","")</f>
        <v/>
      </c>
      <c r="D46" s="42"/>
      <c r="E46" s="26" t="str">
        <f>IF(OR(AND(G19="No",G40="Yes",G42="Neither"),AND(G19="No",G40="No"),AND(G19="Yes",G40="No")),"State:","")</f>
        <v/>
      </c>
      <c r="F46" s="43"/>
      <c r="G46" s="26" t="str">
        <f>IF(OR(AND(G19="No",G40="Yes",G42="Neither"),AND(G19="No",G40="No"),AND(G19="Yes",G40="No")),"Zip:","")</f>
        <v/>
      </c>
      <c r="H46" s="44"/>
      <c r="I46" s="28"/>
      <c r="J46" s="28"/>
      <c r="K46" s="28"/>
      <c r="L46" s="28"/>
    </row>
    <row r="47" spans="2:15" ht="29.25" customHeight="1" x14ac:dyDescent="0.35">
      <c r="H47" s="19"/>
      <c r="I47" s="19"/>
      <c r="J47" s="19"/>
      <c r="K47" s="18"/>
      <c r="L47" s="18"/>
      <c r="M47" s="18"/>
      <c r="N47" s="18"/>
      <c r="O47" s="18"/>
    </row>
    <row r="48" spans="2:15" ht="29.25" customHeight="1" x14ac:dyDescent="0.35">
      <c r="H48" s="19"/>
      <c r="I48" s="19"/>
      <c r="J48" s="19"/>
      <c r="K48" s="18"/>
      <c r="L48" s="18"/>
      <c r="M48" s="18"/>
      <c r="N48" s="18"/>
      <c r="O48" s="18"/>
    </row>
    <row r="50" spans="2:15" ht="39.75" customHeight="1" x14ac:dyDescent="0.35">
      <c r="B50" s="31" t="s">
        <v>45</v>
      </c>
      <c r="C50" s="233" t="s">
        <v>194</v>
      </c>
      <c r="D50" s="233"/>
      <c r="E50" s="233"/>
      <c r="G50" s="54"/>
      <c r="H50" s="32" t="str">
        <f>IF(G50="", " &lt;=== Select from drop down list","")</f>
        <v xml:space="preserve"> &lt;=== Select from drop down list</v>
      </c>
    </row>
    <row r="51" spans="2:15" ht="39.75" customHeight="1" x14ac:dyDescent="0.35">
      <c r="B51" s="31" t="s">
        <v>30</v>
      </c>
      <c r="C51" s="233" t="s">
        <v>260</v>
      </c>
      <c r="D51" s="233"/>
      <c r="E51" s="233"/>
      <c r="F51" s="107"/>
      <c r="G51" s="54"/>
      <c r="H51" s="257" t="str">
        <f>IF(G51="", " &lt;=== Select from drop down list",IF(AND(G51="No",G52="No"),"There must be a pathway for graduates to obtain college credit upon completion of the AEMT program.  
This application will not be approved if there is not at least one (1) fully executed articulation agreement.",""))</f>
        <v xml:space="preserve"> &lt;=== Select from drop down list</v>
      </c>
      <c r="I51" s="239"/>
      <c r="J51" s="239"/>
      <c r="K51" s="239"/>
      <c r="L51" s="239"/>
      <c r="M51" s="239"/>
    </row>
    <row r="52" spans="2:15" ht="39.75" customHeight="1" x14ac:dyDescent="0.35">
      <c r="B52" s="31" t="s">
        <v>32</v>
      </c>
      <c r="C52" s="233" t="s">
        <v>31</v>
      </c>
      <c r="D52" s="233"/>
      <c r="E52" s="233"/>
      <c r="F52" s="47"/>
      <c r="G52" s="54"/>
    </row>
    <row r="53" spans="2:15" ht="39.75" customHeight="1" x14ac:dyDescent="0.35">
      <c r="B53" s="31" t="s">
        <v>34</v>
      </c>
      <c r="C53" s="233" t="s">
        <v>87</v>
      </c>
      <c r="D53" s="233"/>
      <c r="E53" s="233"/>
      <c r="G53" s="73"/>
      <c r="H53" s="32" t="str">
        <f>IF(G53="", " &lt;=== Select from drop down list","")</f>
        <v xml:space="preserve"> &lt;=== Select from drop down list</v>
      </c>
      <c r="I53" s="19"/>
      <c r="J53" s="19"/>
      <c r="K53" s="18"/>
      <c r="L53" s="18"/>
      <c r="M53" s="18"/>
      <c r="N53" s="18"/>
      <c r="O53" s="18"/>
    </row>
    <row r="54" spans="2:15" ht="28.5" customHeight="1" x14ac:dyDescent="0.35">
      <c r="B54" s="31"/>
      <c r="C54" s="258" t="str">
        <f>IF(G53="Yes","     Total number of students currently enrolled?","")</f>
        <v/>
      </c>
      <c r="D54" s="258"/>
      <c r="E54" s="258"/>
      <c r="G54" s="210"/>
    </row>
    <row r="55" spans="2:15" ht="39.75" customHeight="1" x14ac:dyDescent="0.35">
      <c r="B55" s="31" t="s">
        <v>15</v>
      </c>
      <c r="C55" s="231" t="str">
        <f>IF(G53="Yes","What date did the current cohort start? (mm/dd/yyyy)","What is the anticipated cohort start date? (mm/dd/yyyy)")</f>
        <v>What is the anticipated cohort start date? (mm/dd/yyyy)</v>
      </c>
      <c r="D55" s="231"/>
      <c r="E55" s="231"/>
      <c r="G55" s="252"/>
      <c r="H55" s="252"/>
    </row>
    <row r="56" spans="2:15" ht="39.75" customHeight="1" x14ac:dyDescent="0.35">
      <c r="B56" s="31" t="s">
        <v>16</v>
      </c>
      <c r="C56" s="231" t="str">
        <f>IF(G53="Yes","What is the on-time graduation date for the current cohort? (mm/dd/yyyy)","What is the anticipated cohort on-time graduation date? (mm/dd/yyyy)")</f>
        <v>What is the anticipated cohort on-time graduation date? (mm/dd/yyyy)</v>
      </c>
      <c r="D56" s="231"/>
      <c r="E56" s="231"/>
      <c r="F56" s="232"/>
      <c r="G56" s="252"/>
      <c r="H56" s="252"/>
    </row>
    <row r="57" spans="2:15" ht="39.75" customHeight="1" x14ac:dyDescent="0.35">
      <c r="B57" s="31" t="s">
        <v>18</v>
      </c>
      <c r="C57" s="231" t="s">
        <v>99</v>
      </c>
      <c r="D57" s="231"/>
      <c r="E57" s="231"/>
      <c r="G57" s="53"/>
    </row>
    <row r="58" spans="2:15" ht="39.75" customHeight="1" x14ac:dyDescent="0.35">
      <c r="B58" s="31" t="s">
        <v>37</v>
      </c>
      <c r="C58" s="49" t="str">
        <f>"In which month"&amp;IF(G57&gt;1,"s are cohorts"," is the cohort")&amp;" started?"</f>
        <v>In which month is the cohort started?</v>
      </c>
      <c r="D58" s="14"/>
      <c r="E58" s="14"/>
      <c r="G58" s="254"/>
      <c r="H58" s="255"/>
      <c r="I58" s="255"/>
      <c r="J58" s="256"/>
    </row>
    <row r="59" spans="2:15" ht="39.75" customHeight="1" x14ac:dyDescent="0.35">
      <c r="B59" s="31" t="s">
        <v>39</v>
      </c>
      <c r="C59" s="49" t="str">
        <f>"In which month"&amp;IF(G57&gt;1,"s do cohorts"," does the cohort")&amp;" complete the program?"</f>
        <v>In which month does the cohort complete the program?</v>
      </c>
      <c r="D59" s="14"/>
      <c r="E59" s="14"/>
      <c r="G59" s="254"/>
      <c r="H59" s="255"/>
      <c r="I59" s="255"/>
      <c r="J59" s="256"/>
    </row>
    <row r="60" spans="2:15" ht="39.75" customHeight="1" x14ac:dyDescent="0.35">
      <c r="B60" s="31" t="s">
        <v>40</v>
      </c>
      <c r="C60" s="231" t="s">
        <v>263</v>
      </c>
      <c r="D60" s="231"/>
      <c r="E60" s="231"/>
      <c r="G60" s="53"/>
    </row>
    <row r="61" spans="2:15" ht="39.75" customHeight="1" x14ac:dyDescent="0.35">
      <c r="B61" s="31" t="s">
        <v>100</v>
      </c>
      <c r="C61" s="231" t="s">
        <v>112</v>
      </c>
      <c r="D61" s="231"/>
      <c r="E61" s="231"/>
      <c r="F61" s="232"/>
      <c r="G61" s="53"/>
      <c r="H61" t="s">
        <v>33</v>
      </c>
    </row>
    <row r="62" spans="2:15" ht="39.75" customHeight="1" x14ac:dyDescent="0.35">
      <c r="B62" s="31" t="s">
        <v>41</v>
      </c>
      <c r="C62" s="231" t="s">
        <v>88</v>
      </c>
      <c r="D62" s="231"/>
      <c r="E62" s="231"/>
      <c r="F62" s="232"/>
      <c r="G62" s="73"/>
      <c r="H62" s="32" t="str">
        <f t="shared" ref="H62:H74" si="0">IF(G62="", " &lt;=== Select from drop down list","")</f>
        <v xml:space="preserve"> &lt;=== Select from drop down list</v>
      </c>
      <c r="I62" s="45"/>
    </row>
    <row r="63" spans="2:15" ht="39.75" customHeight="1" x14ac:dyDescent="0.35">
      <c r="B63" s="31" t="s">
        <v>101</v>
      </c>
      <c r="C63" s="231" t="s">
        <v>95</v>
      </c>
      <c r="D63" s="231"/>
      <c r="E63" s="231"/>
      <c r="F63" s="232"/>
      <c r="G63" s="54"/>
      <c r="H63" s="32" t="str">
        <f t="shared" si="0"/>
        <v xml:space="preserve"> &lt;=== Select from drop down list</v>
      </c>
      <c r="I63" s="45"/>
    </row>
    <row r="64" spans="2:15" ht="39.75" customHeight="1" x14ac:dyDescent="0.35">
      <c r="B64" s="31" t="s">
        <v>113</v>
      </c>
      <c r="C64" s="231" t="s">
        <v>110</v>
      </c>
      <c r="D64" s="231"/>
      <c r="E64" s="231"/>
      <c r="F64" s="232"/>
      <c r="G64" s="54"/>
      <c r="H64" s="32" t="str">
        <f t="shared" si="0"/>
        <v xml:space="preserve"> &lt;=== Select from drop down list</v>
      </c>
      <c r="I64" s="45"/>
    </row>
    <row r="65" spans="2:110" ht="39.75" customHeight="1" x14ac:dyDescent="0.35">
      <c r="B65" s="31" t="s">
        <v>102</v>
      </c>
      <c r="C65" s="231" t="s">
        <v>243</v>
      </c>
      <c r="D65" s="231"/>
      <c r="E65" s="231"/>
      <c r="F65" s="232"/>
      <c r="G65" s="54"/>
      <c r="H65" s="32" t="str">
        <f t="shared" si="0"/>
        <v xml:space="preserve"> &lt;=== Select from drop down list</v>
      </c>
      <c r="I65" s="45"/>
    </row>
    <row r="66" spans="2:110" ht="39.75" customHeight="1" x14ac:dyDescent="0.35">
      <c r="B66" s="31" t="s">
        <v>103</v>
      </c>
      <c r="C66" s="231" t="s">
        <v>46</v>
      </c>
      <c r="D66" s="231"/>
      <c r="E66" s="231"/>
      <c r="G66" s="53"/>
      <c r="H66" s="32" t="str">
        <f>IF(G66="", " &lt;=== Select from drop down list","")</f>
        <v xml:space="preserve"> &lt;=== Select from drop down list</v>
      </c>
    </row>
    <row r="67" spans="2:110" ht="39.75" customHeight="1" x14ac:dyDescent="0.35">
      <c r="B67" s="31" t="s">
        <v>104</v>
      </c>
      <c r="C67" s="233" t="s">
        <v>35</v>
      </c>
      <c r="D67" s="233"/>
      <c r="E67" s="233"/>
      <c r="F67" s="234"/>
      <c r="G67" s="54"/>
      <c r="H67" s="32" t="str">
        <f t="shared" si="0"/>
        <v xml:space="preserve"> &lt;=== Select from drop down list</v>
      </c>
    </row>
    <row r="68" spans="2:110" ht="39.75" customHeight="1" x14ac:dyDescent="0.35">
      <c r="B68" s="31" t="s">
        <v>105</v>
      </c>
      <c r="C68" s="236" t="s">
        <v>36</v>
      </c>
      <c r="D68" s="236"/>
      <c r="E68" s="236"/>
      <c r="F68" s="237"/>
      <c r="G68" s="54"/>
      <c r="H68" s="32" t="str">
        <f t="shared" si="0"/>
        <v xml:space="preserve"> &lt;=== Select from drop down list</v>
      </c>
    </row>
    <row r="69" spans="2:110" ht="39.75" customHeight="1" x14ac:dyDescent="0.35">
      <c r="B69" s="31" t="s">
        <v>114</v>
      </c>
      <c r="C69" s="231" t="s">
        <v>38</v>
      </c>
      <c r="D69" s="231"/>
      <c r="E69" s="231"/>
      <c r="F69" s="232"/>
      <c r="G69" s="54"/>
      <c r="H69" s="32" t="str">
        <f t="shared" si="0"/>
        <v xml:space="preserve"> &lt;=== Select from drop down list</v>
      </c>
      <c r="I69" s="45"/>
    </row>
    <row r="70" spans="2:110" ht="48.75" customHeight="1" x14ac:dyDescent="0.35">
      <c r="B70" s="31" t="s">
        <v>115</v>
      </c>
      <c r="C70" s="233" t="s">
        <v>192</v>
      </c>
      <c r="D70" s="233"/>
      <c r="E70" s="233"/>
      <c r="F70" s="234"/>
      <c r="G70" s="54"/>
      <c r="H70" s="32" t="str">
        <f t="shared" si="0"/>
        <v xml:space="preserve"> &lt;=== Select from drop down list</v>
      </c>
      <c r="I70" s="45"/>
    </row>
    <row r="71" spans="2:110" ht="48.75" customHeight="1" x14ac:dyDescent="0.35">
      <c r="B71" s="31" t="s">
        <v>136</v>
      </c>
      <c r="C71" s="233" t="s">
        <v>259</v>
      </c>
      <c r="D71" s="233"/>
      <c r="E71" s="233"/>
      <c r="F71" s="234"/>
      <c r="G71" s="206"/>
      <c r="H71" s="32"/>
      <c r="I71" s="45"/>
    </row>
    <row r="72" spans="2:110" ht="36" customHeight="1" x14ac:dyDescent="0.35">
      <c r="B72" s="31" t="s">
        <v>258</v>
      </c>
      <c r="C72" s="233" t="s">
        <v>107</v>
      </c>
      <c r="D72" s="233"/>
      <c r="E72" s="233"/>
      <c r="F72" s="234"/>
      <c r="G72" s="54"/>
      <c r="H72" s="32" t="str">
        <f t="shared" si="0"/>
        <v xml:space="preserve"> &lt;=== Select from drop down list</v>
      </c>
      <c r="I72" s="45"/>
      <c r="J72" s="45"/>
    </row>
    <row r="73" spans="2:110" ht="49.5" customHeight="1" x14ac:dyDescent="0.35">
      <c r="B73" s="31"/>
      <c r="C73" s="233" t="str">
        <f>IF(G72="Yes","Is/Are the alternate location(s) approved by the CoAEMSP?","")</f>
        <v/>
      </c>
      <c r="D73" s="233"/>
      <c r="E73" s="233"/>
      <c r="F73" s="233"/>
      <c r="G73" s="142"/>
      <c r="H73" s="239" t="str">
        <f>IF(AND(G72="Yes",G73=""), " &lt;=== Select from drop down list",IF(AND(G72="Yes",G73="No"),"Alternate locations require approval by CoAEMSP.  Failure to obtain CoAEMSP approval for any alternate location may result in suspension of the LoR which may lead to revocation or a "&amp;"recommendation to CAAHEP for Probationary Accreditation which may lead to Withdrawal of Accreditation.",""))</f>
        <v/>
      </c>
      <c r="I73" s="239"/>
      <c r="J73" s="239"/>
      <c r="K73" s="239"/>
      <c r="L73" s="239"/>
      <c r="M73" s="239"/>
    </row>
    <row r="74" spans="2:110" ht="36" customHeight="1" x14ac:dyDescent="0.35">
      <c r="B74" s="31" t="s">
        <v>261</v>
      </c>
      <c r="C74" s="233" t="s">
        <v>108</v>
      </c>
      <c r="D74" s="233"/>
      <c r="E74" s="233"/>
      <c r="F74" s="234"/>
      <c r="G74" s="54"/>
      <c r="H74" s="32" t="str">
        <f t="shared" si="0"/>
        <v xml:space="preserve"> &lt;=== Select from drop down list</v>
      </c>
      <c r="I74" s="45"/>
    </row>
    <row r="75" spans="2:110" ht="49.5" customHeight="1" x14ac:dyDescent="0.35">
      <c r="B75" s="31"/>
      <c r="C75" s="233" t="str">
        <f>IF(G74="Yes","Is/Are the satellite location(s) approved by the CoAEMSP?","")</f>
        <v/>
      </c>
      <c r="D75" s="233"/>
      <c r="E75" s="233"/>
      <c r="F75" s="233"/>
      <c r="G75" s="142"/>
      <c r="H75" s="239" t="str">
        <f>IF(AND(G74="Yes",G75=""), " &lt;=== Select from drop down list",IF(AND(G74="Yes",G75="No"),"Satellite locations require approval by CoAEMSP.  Failure to obtain CoAEMSP approval for any satellite location may result in suspension of the LoR which may lead to revocation or a "&amp;"recommendation to CAAHEP for Probationary Accreditation which may lead to Withdrawal of Accreditation.",""))</f>
        <v/>
      </c>
      <c r="I75" s="239"/>
      <c r="J75" s="239"/>
      <c r="K75" s="239"/>
      <c r="L75" s="239"/>
      <c r="M75" s="239"/>
    </row>
    <row r="76" spans="2:110" ht="36" customHeight="1" x14ac:dyDescent="0.35">
      <c r="B76" s="31"/>
      <c r="C76" s="107"/>
      <c r="D76" s="107"/>
      <c r="E76" s="107"/>
      <c r="F76" s="107"/>
      <c r="H76" s="32"/>
      <c r="I76" s="45"/>
    </row>
    <row r="77" spans="2:110" ht="86.25" customHeight="1" x14ac:dyDescent="0.35">
      <c r="B77" s="31"/>
      <c r="C77" s="40" t="s">
        <v>4</v>
      </c>
      <c r="D77" s="238" t="str">
        <f>IF('Program Info'!G53="Yes","By selecting 'Yes', I acknowledge the annual reporting process for the AEMT program will begin with the current cohort scheduled to graduate on "&amp;TEXT('Program Info'!G56,"MM/DD/YYYY")&amp;".  A separate CoAEMSP Annual Report must be completed for the AEMT program and submitted by the deadline set by the CoAEMSP.","By selecting 'Yes', I acknowledge a separate CoAEMSP Annual Report must be completed for the AEMT program and submitted by the deadline set by the CoAEMSP.")</f>
        <v>By selecting 'Yes', I acknowledge a separate CoAEMSP Annual Report must be completed for the AEMT program and submitted by the deadline set by the CoAEMSP.</v>
      </c>
      <c r="E77" s="238"/>
      <c r="F77" s="238"/>
      <c r="G77" s="238"/>
      <c r="H77" s="238"/>
      <c r="I77" s="238"/>
      <c r="J77" s="238"/>
      <c r="K77" s="8"/>
    </row>
    <row r="78" spans="2:110" ht="15.75" customHeight="1" x14ac:dyDescent="0.35">
      <c r="C78" s="20"/>
      <c r="D78" s="20"/>
      <c r="E78" s="7"/>
      <c r="F78" s="21"/>
      <c r="I78" s="22"/>
      <c r="J78" s="22"/>
      <c r="K78" s="8"/>
      <c r="R78" s="22"/>
      <c r="S78" s="22"/>
      <c r="T78" s="8"/>
      <c r="AA78" s="22"/>
      <c r="AB78" s="22"/>
      <c r="AC78" s="8"/>
      <c r="AJ78" s="22"/>
      <c r="AK78" s="22"/>
      <c r="AL78" s="8"/>
      <c r="AS78" s="22"/>
      <c r="AT78" s="22"/>
      <c r="AU78" s="8"/>
      <c r="BB78" s="22"/>
      <c r="BC78" s="22"/>
      <c r="BD78" s="8"/>
      <c r="BK78" s="22"/>
      <c r="BL78" s="22"/>
      <c r="BM78" s="8"/>
      <c r="BT78" s="22"/>
      <c r="BU78" s="22"/>
      <c r="BV78" s="8"/>
      <c r="CC78" s="22"/>
      <c r="CD78" s="22"/>
      <c r="CE78" s="8"/>
      <c r="CL78" s="22"/>
      <c r="CM78" s="22"/>
      <c r="CN78" s="8"/>
      <c r="CU78" s="22"/>
      <c r="CV78" s="22"/>
      <c r="CW78" s="8"/>
      <c r="DD78" s="22"/>
      <c r="DE78" s="22"/>
      <c r="DF78" s="8"/>
    </row>
    <row r="79" spans="2:110" ht="85.5" customHeight="1" x14ac:dyDescent="0.35">
      <c r="B79" s="37"/>
      <c r="C79" s="40" t="s">
        <v>4</v>
      </c>
      <c r="D79" s="241" t="s">
        <v>26</v>
      </c>
      <c r="E79" s="241"/>
      <c r="F79" s="241"/>
      <c r="G79" s="241"/>
      <c r="H79" s="241"/>
      <c r="I79" s="241"/>
      <c r="J79" s="241"/>
    </row>
    <row r="80" spans="2:110" x14ac:dyDescent="0.35">
      <c r="B80" s="28"/>
      <c r="C80" s="253" t="s">
        <v>5</v>
      </c>
      <c r="D80" s="253"/>
      <c r="E80" s="253"/>
      <c r="F80" s="253"/>
      <c r="G80" s="28"/>
      <c r="H80" s="28"/>
    </row>
    <row r="81" spans="2:10" ht="79.5" customHeight="1" x14ac:dyDescent="0.35">
      <c r="B81" s="37"/>
      <c r="C81" s="40" t="s">
        <v>4</v>
      </c>
      <c r="D81" s="241" t="s">
        <v>27</v>
      </c>
      <c r="E81" s="241"/>
      <c r="F81" s="241"/>
      <c r="G81" s="241"/>
      <c r="H81" s="241"/>
      <c r="I81" s="241"/>
      <c r="J81" s="241"/>
    </row>
    <row r="82" spans="2:10" x14ac:dyDescent="0.35">
      <c r="C82" s="242" t="s">
        <v>17</v>
      </c>
      <c r="D82" s="242"/>
      <c r="E82" s="242"/>
    </row>
    <row r="86" spans="2:10" ht="21" customHeight="1" x14ac:dyDescent="0.35">
      <c r="B86" s="31"/>
      <c r="C86" s="49" t="s">
        <v>19</v>
      </c>
    </row>
    <row r="87" spans="2:10" ht="15.5" x14ac:dyDescent="0.35">
      <c r="C87" s="51" t="s">
        <v>20</v>
      </c>
      <c r="D87" s="235"/>
      <c r="E87" s="235"/>
    </row>
    <row r="88" spans="2:10" ht="15.5" x14ac:dyDescent="0.35">
      <c r="C88" s="52" t="s">
        <v>21</v>
      </c>
      <c r="D88" s="235"/>
      <c r="E88" s="235"/>
    </row>
    <row r="89" spans="2:10" ht="15.5" x14ac:dyDescent="0.35">
      <c r="C89" s="51" t="s">
        <v>22</v>
      </c>
      <c r="D89" s="34"/>
      <c r="E89" s="28"/>
    </row>
    <row r="90" spans="2:10" ht="15.5" x14ac:dyDescent="0.35">
      <c r="C90" s="52"/>
      <c r="D90" s="52"/>
      <c r="E90" s="52"/>
    </row>
    <row r="91" spans="2:10" ht="15.5" x14ac:dyDescent="0.35">
      <c r="C91" s="51" t="s">
        <v>20</v>
      </c>
      <c r="D91" s="235"/>
      <c r="E91" s="235"/>
    </row>
    <row r="92" spans="2:10" ht="15.5" x14ac:dyDescent="0.35">
      <c r="C92" s="51" t="s">
        <v>23</v>
      </c>
      <c r="D92" s="235"/>
      <c r="E92" s="235"/>
    </row>
    <row r="93" spans="2:10" ht="15.5" x14ac:dyDescent="0.35">
      <c r="C93" s="51" t="s">
        <v>22</v>
      </c>
      <c r="D93" s="34"/>
      <c r="E93" s="28"/>
    </row>
    <row r="94" spans="2:10" ht="15.5" x14ac:dyDescent="0.35">
      <c r="C94" s="14"/>
      <c r="D94" s="52"/>
      <c r="E94" s="52"/>
    </row>
    <row r="95" spans="2:10" ht="15.5" x14ac:dyDescent="0.35">
      <c r="C95" s="52" t="s">
        <v>24</v>
      </c>
      <c r="D95" s="34"/>
      <c r="E95" s="52"/>
    </row>
    <row r="96" spans="2:10" x14ac:dyDescent="0.35">
      <c r="C96" s="2"/>
    </row>
    <row r="97" spans="2:110" ht="24" customHeight="1" x14ac:dyDescent="0.35">
      <c r="B97" s="38" t="s">
        <v>44</v>
      </c>
      <c r="C97" s="38"/>
      <c r="D97" s="38"/>
      <c r="E97" s="39"/>
      <c r="F97" s="39"/>
      <c r="K97" s="2"/>
    </row>
    <row r="98" spans="2:110" ht="25.5" customHeight="1" x14ac:dyDescent="0.35">
      <c r="C98" s="20"/>
      <c r="D98" s="20"/>
      <c r="E98" s="7"/>
      <c r="F98" s="21"/>
      <c r="I98" s="22"/>
      <c r="J98" s="22"/>
      <c r="K98" s="8"/>
      <c r="R98" s="22"/>
      <c r="S98" s="22"/>
      <c r="T98" s="8"/>
      <c r="AA98" s="22"/>
      <c r="AB98" s="22"/>
      <c r="AC98" s="8"/>
      <c r="AJ98" s="22"/>
      <c r="AK98" s="22"/>
      <c r="AL98" s="8"/>
      <c r="AS98" s="22"/>
      <c r="AT98" s="22"/>
      <c r="AU98" s="8"/>
      <c r="BB98" s="22"/>
      <c r="BC98" s="22"/>
      <c r="BD98" s="8"/>
      <c r="BK98" s="22"/>
      <c r="BL98" s="22"/>
      <c r="BM98" s="8"/>
      <c r="BT98" s="22"/>
      <c r="BU98" s="22"/>
      <c r="BV98" s="8"/>
      <c r="CC98" s="22"/>
      <c r="CD98" s="22"/>
      <c r="CE98" s="8"/>
      <c r="CL98" s="22"/>
      <c r="CM98" s="22"/>
      <c r="CN98" s="8"/>
      <c r="CU98" s="22"/>
      <c r="CV98" s="22"/>
      <c r="CW98" s="8"/>
      <c r="DD98" s="22"/>
      <c r="DE98" s="22"/>
      <c r="DF98" s="8"/>
    </row>
    <row r="103" spans="2:110" x14ac:dyDescent="0.35">
      <c r="C103" s="2"/>
    </row>
  </sheetData>
  <sheetProtection algorithmName="SHA-512" hashValue="10ySiKY55MTyzuA6jzGbkVhwK9oyrF61jPR2OKrtp2SMGF9aqcxnYo4nPbrNBpwzV4m1elW8kTIN0kgkUeuRFQ==" saltValue="oIN/Gc5XiRn5+zhlmvE+bQ==" spinCount="100000" sheet="1" formatRows="0" insertHyperlinks="0" selectLockedCells="1"/>
  <mergeCells count="54">
    <mergeCell ref="C4:L4"/>
    <mergeCell ref="C6:L6"/>
    <mergeCell ref="D9:L9"/>
    <mergeCell ref="C40:F40"/>
    <mergeCell ref="C42:F42"/>
    <mergeCell ref="D38:L38"/>
    <mergeCell ref="C60:E60"/>
    <mergeCell ref="C57:E57"/>
    <mergeCell ref="D25:L25"/>
    <mergeCell ref="C53:E53"/>
    <mergeCell ref="H51:M51"/>
    <mergeCell ref="C55:E55"/>
    <mergeCell ref="C56:F56"/>
    <mergeCell ref="G59:J59"/>
    <mergeCell ref="C52:E52"/>
    <mergeCell ref="C50:E50"/>
    <mergeCell ref="C51:E51"/>
    <mergeCell ref="C54:E54"/>
    <mergeCell ref="D2:J2"/>
    <mergeCell ref="C61:F61"/>
    <mergeCell ref="C69:F69"/>
    <mergeCell ref="D79:J79"/>
    <mergeCell ref="C82:E82"/>
    <mergeCell ref="D81:J81"/>
    <mergeCell ref="D11:L11"/>
    <mergeCell ref="B31:L31"/>
    <mergeCell ref="D36:L36"/>
    <mergeCell ref="D44:L44"/>
    <mergeCell ref="C16:L16"/>
    <mergeCell ref="D23:L23"/>
    <mergeCell ref="G55:H55"/>
    <mergeCell ref="G56:H56"/>
    <mergeCell ref="C80:F80"/>
    <mergeCell ref="G58:J58"/>
    <mergeCell ref="D88:E88"/>
    <mergeCell ref="D91:E91"/>
    <mergeCell ref="D92:E92"/>
    <mergeCell ref="D87:E87"/>
    <mergeCell ref="C66:E66"/>
    <mergeCell ref="C67:F67"/>
    <mergeCell ref="C68:F68"/>
    <mergeCell ref="C72:F72"/>
    <mergeCell ref="C74:F74"/>
    <mergeCell ref="D77:J77"/>
    <mergeCell ref="C73:F73"/>
    <mergeCell ref="H73:M73"/>
    <mergeCell ref="C75:F75"/>
    <mergeCell ref="H75:M75"/>
    <mergeCell ref="C71:F71"/>
    <mergeCell ref="C62:F62"/>
    <mergeCell ref="C63:F63"/>
    <mergeCell ref="C64:F64"/>
    <mergeCell ref="C65:F65"/>
    <mergeCell ref="C70:F70"/>
  </mergeCells>
  <conditionalFormatting sqref="D27">
    <cfRule type="expression" dxfId="772" priority="19">
      <formula>$G$19="No"</formula>
    </cfRule>
  </conditionalFormatting>
  <conditionalFormatting sqref="D46">
    <cfRule type="expression" dxfId="771" priority="11">
      <formula>OR(AND(G19="No",G40="Yes",G42="Neither"),AND(G19="No",G40="No"),AND(G19="Yes",G40="No"))</formula>
    </cfRule>
  </conditionalFormatting>
  <conditionalFormatting sqref="D25:L25">
    <cfRule type="expression" dxfId="770" priority="20">
      <formula>$G$19="No"</formula>
    </cfRule>
  </conditionalFormatting>
  <conditionalFormatting sqref="D44:L44">
    <cfRule type="expression" dxfId="769" priority="12">
      <formula>OR(AND(G19="No",G40="Yes",G42="Neither"),AND(G19="No",G40="No"),AND(G19="Yes",G40="No"))</formula>
    </cfRule>
  </conditionalFormatting>
  <conditionalFormatting sqref="E78 E98">
    <cfRule type="expression" dxfId="768" priority="63">
      <formula>E78&lt;&gt;""</formula>
    </cfRule>
  </conditionalFormatting>
  <conditionalFormatting sqref="F27">
    <cfRule type="expression" dxfId="767" priority="18">
      <formula>$G$19="No"</formula>
    </cfRule>
  </conditionalFormatting>
  <conditionalFormatting sqref="F46">
    <cfRule type="expression" dxfId="766" priority="10">
      <formula>OR(AND(G19="No",G40="Yes",G42="Neither"),AND(G19="No",G40="No"),AND(G19="Yes",G40="No"))</formula>
    </cfRule>
  </conditionalFormatting>
  <conditionalFormatting sqref="F78 F98">
    <cfRule type="expression" dxfId="765" priority="102">
      <formula>#REF!&lt;#REF!</formula>
    </cfRule>
  </conditionalFormatting>
  <conditionalFormatting sqref="G40">
    <cfRule type="expression" dxfId="764" priority="14">
      <formula>$C$40&lt;&gt;""</formula>
    </cfRule>
  </conditionalFormatting>
  <conditionalFormatting sqref="G42">
    <cfRule type="expression" dxfId="763" priority="15">
      <formula>AND(G19="No",G40="Yes")</formula>
    </cfRule>
  </conditionalFormatting>
  <conditionalFormatting sqref="G54">
    <cfRule type="expression" dxfId="762" priority="1">
      <formula>$C$54&lt;&gt;""</formula>
    </cfRule>
  </conditionalFormatting>
  <conditionalFormatting sqref="G73">
    <cfRule type="expression" dxfId="761" priority="3">
      <formula>$C$73&lt;&gt;""</formula>
    </cfRule>
  </conditionalFormatting>
  <conditionalFormatting sqref="G75">
    <cfRule type="expression" dxfId="760" priority="4">
      <formula>$C$75&lt;&gt;""</formula>
    </cfRule>
  </conditionalFormatting>
  <conditionalFormatting sqref="H27">
    <cfRule type="expression" dxfId="759" priority="17">
      <formula>$G$19="No"</formula>
    </cfRule>
  </conditionalFormatting>
  <conditionalFormatting sqref="H46">
    <cfRule type="expression" dxfId="758" priority="9">
      <formula>OR(AND(G19="No",G40="Yes",G42="Neither"),AND(G19="No",G40="No"),AND(G19="Yes",G40="No"))</formula>
    </cfRule>
  </conditionalFormatting>
  <conditionalFormatting sqref="H51:M51">
    <cfRule type="expression" dxfId="757" priority="7">
      <formula>AND(G51="No",G52="No")</formula>
    </cfRule>
  </conditionalFormatting>
  <conditionalFormatting sqref="H73:M73">
    <cfRule type="expression" dxfId="756" priority="6">
      <formula>$G73="No"</formula>
    </cfRule>
  </conditionalFormatting>
  <conditionalFormatting sqref="H75:M75">
    <cfRule type="expression" dxfId="755" priority="5">
      <formula>$G75="No"</formula>
    </cfRule>
  </conditionalFormatting>
  <conditionalFormatting sqref="K77:K78 K98">
    <cfRule type="expression" dxfId="754" priority="64">
      <formula>J77&lt;&gt;""</formula>
    </cfRule>
  </conditionalFormatting>
  <conditionalFormatting sqref="T4">
    <cfRule type="expression" dxfId="753" priority="101">
      <formula>S4&lt;&gt;""</formula>
    </cfRule>
  </conditionalFormatting>
  <conditionalFormatting sqref="T6">
    <cfRule type="expression" dxfId="752" priority="86">
      <formula>S6&lt;&gt;""</formula>
    </cfRule>
  </conditionalFormatting>
  <conditionalFormatting sqref="T16">
    <cfRule type="expression" dxfId="751" priority="32">
      <formula>S16&lt;&gt;""</formula>
    </cfRule>
  </conditionalFormatting>
  <conditionalFormatting sqref="T31">
    <cfRule type="expression" dxfId="750" priority="75">
      <formula>S31&lt;&gt;""</formula>
    </cfRule>
  </conditionalFormatting>
  <conditionalFormatting sqref="AC4">
    <cfRule type="expression" dxfId="749" priority="100">
      <formula>AB4&lt;&gt;""</formula>
    </cfRule>
  </conditionalFormatting>
  <conditionalFormatting sqref="AC6">
    <cfRule type="expression" dxfId="748" priority="85">
      <formula>AB6&lt;&gt;""</formula>
    </cfRule>
  </conditionalFormatting>
  <conditionalFormatting sqref="AC16">
    <cfRule type="expression" dxfId="747" priority="31">
      <formula>AB16&lt;&gt;""</formula>
    </cfRule>
  </conditionalFormatting>
  <conditionalFormatting sqref="AC31">
    <cfRule type="expression" dxfId="746" priority="74">
      <formula>AB31&lt;&gt;""</formula>
    </cfRule>
  </conditionalFormatting>
  <conditionalFormatting sqref="AL4">
    <cfRule type="expression" dxfId="745" priority="99">
      <formula>AK4&lt;&gt;""</formula>
    </cfRule>
  </conditionalFormatting>
  <conditionalFormatting sqref="AL6">
    <cfRule type="expression" dxfId="744" priority="84">
      <formula>AK6&lt;&gt;""</formula>
    </cfRule>
  </conditionalFormatting>
  <conditionalFormatting sqref="AL16">
    <cfRule type="expression" dxfId="743" priority="30">
      <formula>AK16&lt;&gt;""</formula>
    </cfRule>
  </conditionalFormatting>
  <conditionalFormatting sqref="AL31">
    <cfRule type="expression" dxfId="742" priority="73">
      <formula>AK31&lt;&gt;""</formula>
    </cfRule>
  </conditionalFormatting>
  <conditionalFormatting sqref="AU4">
    <cfRule type="expression" dxfId="741" priority="98">
      <formula>AT4&lt;&gt;""</formula>
    </cfRule>
  </conditionalFormatting>
  <conditionalFormatting sqref="AU6">
    <cfRule type="expression" dxfId="740" priority="83">
      <formula>AT6&lt;&gt;""</formula>
    </cfRule>
  </conditionalFormatting>
  <conditionalFormatting sqref="AU16">
    <cfRule type="expression" dxfId="739" priority="29">
      <formula>AT16&lt;&gt;""</formula>
    </cfRule>
  </conditionalFormatting>
  <conditionalFormatting sqref="AU31">
    <cfRule type="expression" dxfId="738" priority="72">
      <formula>AT31&lt;&gt;""</formula>
    </cfRule>
  </conditionalFormatting>
  <conditionalFormatting sqref="BD4">
    <cfRule type="expression" dxfId="737" priority="97">
      <formula>BC4&lt;&gt;""</formula>
    </cfRule>
  </conditionalFormatting>
  <conditionalFormatting sqref="BD6">
    <cfRule type="expression" dxfId="736" priority="82">
      <formula>BC6&lt;&gt;""</formula>
    </cfRule>
  </conditionalFormatting>
  <conditionalFormatting sqref="BD16">
    <cfRule type="expression" dxfId="735" priority="28">
      <formula>BC16&lt;&gt;""</formula>
    </cfRule>
  </conditionalFormatting>
  <conditionalFormatting sqref="BD31">
    <cfRule type="expression" dxfId="734" priority="71">
      <formula>BC31&lt;&gt;""</formula>
    </cfRule>
  </conditionalFormatting>
  <conditionalFormatting sqref="BM4">
    <cfRule type="expression" dxfId="733" priority="96">
      <formula>BL4&lt;&gt;""</formula>
    </cfRule>
  </conditionalFormatting>
  <conditionalFormatting sqref="BM6">
    <cfRule type="expression" dxfId="732" priority="81">
      <formula>BL6&lt;&gt;""</formula>
    </cfRule>
  </conditionalFormatting>
  <conditionalFormatting sqref="BM16">
    <cfRule type="expression" dxfId="731" priority="27">
      <formula>BL16&lt;&gt;""</formula>
    </cfRule>
  </conditionalFormatting>
  <conditionalFormatting sqref="BM31">
    <cfRule type="expression" dxfId="730" priority="70">
      <formula>BL31&lt;&gt;""</formula>
    </cfRule>
  </conditionalFormatting>
  <conditionalFormatting sqref="BV4">
    <cfRule type="expression" dxfId="729" priority="95">
      <formula>BU4&lt;&gt;""</formula>
    </cfRule>
  </conditionalFormatting>
  <conditionalFormatting sqref="BV6">
    <cfRule type="expression" dxfId="728" priority="80">
      <formula>BU6&lt;&gt;""</formula>
    </cfRule>
  </conditionalFormatting>
  <conditionalFormatting sqref="BV16">
    <cfRule type="expression" dxfId="727" priority="26">
      <formula>BU16&lt;&gt;""</formula>
    </cfRule>
  </conditionalFormatting>
  <conditionalFormatting sqref="BV31">
    <cfRule type="expression" dxfId="726" priority="69">
      <formula>BU31&lt;&gt;""</formula>
    </cfRule>
  </conditionalFormatting>
  <conditionalFormatting sqref="CE4">
    <cfRule type="expression" dxfId="725" priority="94">
      <formula>CD4&lt;&gt;""</formula>
    </cfRule>
  </conditionalFormatting>
  <conditionalFormatting sqref="CE6">
    <cfRule type="expression" dxfId="724" priority="79">
      <formula>CD6&lt;&gt;""</formula>
    </cfRule>
  </conditionalFormatting>
  <conditionalFormatting sqref="CE16">
    <cfRule type="expression" dxfId="723" priority="25">
      <formula>CD16&lt;&gt;""</formula>
    </cfRule>
  </conditionalFormatting>
  <conditionalFormatting sqref="CE31">
    <cfRule type="expression" dxfId="722" priority="68">
      <formula>CD31&lt;&gt;""</formula>
    </cfRule>
  </conditionalFormatting>
  <conditionalFormatting sqref="CN4">
    <cfRule type="expression" dxfId="721" priority="93">
      <formula>CM4&lt;&gt;""</formula>
    </cfRule>
  </conditionalFormatting>
  <conditionalFormatting sqref="CN6">
    <cfRule type="expression" dxfId="720" priority="78">
      <formula>CM6&lt;&gt;""</formula>
    </cfRule>
  </conditionalFormatting>
  <conditionalFormatting sqref="CN16">
    <cfRule type="expression" dxfId="719" priority="24">
      <formula>CM16&lt;&gt;""</formula>
    </cfRule>
  </conditionalFormatting>
  <conditionalFormatting sqref="CN31">
    <cfRule type="expression" dxfId="718" priority="67">
      <formula>CM31&lt;&gt;""</formula>
    </cfRule>
  </conditionalFormatting>
  <conditionalFormatting sqref="CW4">
    <cfRule type="expression" dxfId="717" priority="92">
      <formula>CV4&lt;&gt;""</formula>
    </cfRule>
  </conditionalFormatting>
  <conditionalFormatting sqref="CW6">
    <cfRule type="expression" dxfId="716" priority="77">
      <formula>CV6&lt;&gt;""</formula>
    </cfRule>
  </conditionalFormatting>
  <conditionalFormatting sqref="CW16">
    <cfRule type="expression" dxfId="715" priority="23">
      <formula>CV16&lt;&gt;""</formula>
    </cfRule>
  </conditionalFormatting>
  <conditionalFormatting sqref="CW31">
    <cfRule type="expression" dxfId="714" priority="66">
      <formula>CV31&lt;&gt;""</formula>
    </cfRule>
  </conditionalFormatting>
  <conditionalFormatting sqref="DF4">
    <cfRule type="expression" dxfId="713" priority="91">
      <formula>DE4&lt;&gt;""</formula>
    </cfRule>
  </conditionalFormatting>
  <conditionalFormatting sqref="DF6">
    <cfRule type="expression" dxfId="712" priority="76">
      <formula>DE6&lt;&gt;""</formula>
    </cfRule>
  </conditionalFormatting>
  <conditionalFormatting sqref="DF16">
    <cfRule type="expression" dxfId="711" priority="22">
      <formula>DE16&lt;&gt;""</formula>
    </cfRule>
  </conditionalFormatting>
  <conditionalFormatting sqref="DF31">
    <cfRule type="expression" dxfId="710" priority="65">
      <formula>DE31&lt;&gt;""</formula>
    </cfRule>
  </conditionalFormatting>
  <dataValidations count="7">
    <dataValidation type="list" allowBlank="1" showInputMessage="1" showErrorMessage="1" sqref="G40 G62:G64 G72:G75 G67:G70 G50:G53" xr:uid="{578C32AE-18FD-4F00-B6E7-13FF43BC3355}">
      <formula1>"Yes, No"</formula1>
    </dataValidation>
    <dataValidation type="list" allowBlank="1" showInputMessage="1" showErrorMessage="1" sqref="F13 F46 F27" xr:uid="{04C563C9-F1C8-46EF-A4BB-977502A8CB61}">
      <formula1>"AK, AL, AR, AZ, CA, CO, CT, DC, DE, FL, GA, HI, IA, ID, IL, IN, KS, KY, LA, MA, MD, ME, MI, MN, MO, MS, MT, NC, ND, NE, NH, NJ, NM, NV, NY, OH, OK, OR, PA, RI, SC, SD, TN, TX, UT, VA, VT, WA, WI, WV, WY"</formula1>
    </dataValidation>
    <dataValidation type="list" allowBlank="1" showInputMessage="1" showErrorMessage="1" sqref="C79 C81 C77" xr:uid="{143DD623-9729-43D8-81CA-9857F76EB566}">
      <formula1>"Please Select, Yes"</formula1>
    </dataValidation>
    <dataValidation type="list" allowBlank="1" showInputMessage="1" showErrorMessage="1" sqref="G19" xr:uid="{C7A75706-0308-40F2-98D1-D4B4ED364E2B}">
      <formula1>"Please Select,Yes, No"</formula1>
    </dataValidation>
    <dataValidation type="list" allowBlank="1" showInputMessage="1" showErrorMessage="1" sqref="G66" xr:uid="{FB41C963-2283-4610-A3A1-6585BF7CFC90}">
      <formula1>"Traditional, On-Line, Both"</formula1>
    </dataValidation>
    <dataValidation type="list" allowBlank="1" showInputMessage="1" showErrorMessage="1" sqref="G42" xr:uid="{1B2F3919-3F24-4EC6-B6E9-6C7E0531BE7F}">
      <formula1>"Sponsor address, Paramedic address, Neither"</formula1>
    </dataValidation>
    <dataValidation type="list" allowBlank="1" showInputMessage="1" showErrorMessage="1" sqref="G65" xr:uid="{EA21AE1B-100C-4300-AB2A-6EDE9FF57AE5}">
      <formula1>"Yes, No, N/A"</formula1>
    </dataValidation>
  </dataValidations>
  <pageMargins left="0.7" right="0.7" top="0.75" bottom="0.75" header="0.3" footer="0.3"/>
  <pageSetup scale="42"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65911"/>
    <pageSetUpPr fitToPage="1"/>
  </sheetPr>
  <dimension ref="A1:CV308"/>
  <sheetViews>
    <sheetView showGridLines="0" topLeftCell="B1" zoomScaleNormal="100" workbookViewId="0">
      <selection activeCell="D10" sqref="D10:H10"/>
    </sheetView>
  </sheetViews>
  <sheetFormatPr defaultRowHeight="14.5" x14ac:dyDescent="0.35"/>
  <cols>
    <col min="1" max="1" width="4.7265625" style="45" customWidth="1"/>
    <col min="2" max="2" width="15.26953125" customWidth="1"/>
    <col min="3" max="3" width="9.26953125" customWidth="1"/>
    <col min="4" max="4" width="15" customWidth="1"/>
    <col min="5" max="5" width="14" customWidth="1"/>
    <col min="6" max="6" width="15.453125" customWidth="1"/>
    <col min="7" max="7" width="12.7265625" customWidth="1"/>
    <col min="8" max="8" width="14.26953125" customWidth="1"/>
    <col min="9" max="9" width="11.54296875" customWidth="1"/>
    <col min="10" max="10" width="11.453125" customWidth="1"/>
    <col min="11" max="11" width="9.1796875" customWidth="1"/>
    <col min="12" max="12" width="13.54296875" customWidth="1"/>
    <col min="13" max="13" width="10" customWidth="1"/>
    <col min="14" max="15" width="9.1796875" customWidth="1"/>
    <col min="16" max="16" width="13.26953125" customWidth="1"/>
    <col min="17" max="19" width="13.453125" customWidth="1"/>
    <col min="28" max="28" width="24.7265625" customWidth="1"/>
    <col min="33" max="33" width="23.7265625" customWidth="1"/>
    <col min="34" max="34" width="32" customWidth="1"/>
    <col min="35" max="35" width="28.81640625" customWidth="1"/>
    <col min="36" max="36" width="29.81640625" customWidth="1"/>
    <col min="37" max="37" width="42.453125" customWidth="1"/>
    <col min="45" max="45" width="24.7265625" customWidth="1"/>
    <col min="54" max="54" width="24.7265625" customWidth="1"/>
    <col min="63" max="63" width="24.7265625" customWidth="1"/>
    <col min="72" max="72" width="24.7265625" customWidth="1"/>
    <col min="81" max="81" width="24.7265625" customWidth="1"/>
    <col min="90" max="90" width="24.7265625" customWidth="1"/>
    <col min="99" max="99" width="24.7265625" customWidth="1"/>
  </cols>
  <sheetData>
    <row r="1" spans="1:100" ht="24" customHeight="1" x14ac:dyDescent="0.4">
      <c r="B1" s="1"/>
      <c r="K1" s="2" t="str">
        <f>Instructions!C17</f>
        <v>LoR Application 2025.02</v>
      </c>
      <c r="AG1" s="193" t="s">
        <v>198</v>
      </c>
      <c r="AH1" s="193" t="s">
        <v>201</v>
      </c>
      <c r="AI1" s="193" t="s">
        <v>50</v>
      </c>
      <c r="AJ1" s="193" t="s">
        <v>204</v>
      </c>
      <c r="AK1" s="193" t="s">
        <v>206</v>
      </c>
    </row>
    <row r="2" spans="1:100" ht="18" customHeight="1" x14ac:dyDescent="0.35">
      <c r="B2" s="56">
        <f>'Program Info'!D34</f>
        <v>0</v>
      </c>
      <c r="C2" s="376">
        <f>'Program Info'!D9</f>
        <v>0</v>
      </c>
      <c r="D2" s="376"/>
      <c r="E2" s="376"/>
      <c r="F2" s="376"/>
      <c r="G2" s="376"/>
      <c r="H2" s="376"/>
      <c r="I2" s="376"/>
      <c r="J2" s="376"/>
      <c r="K2" s="2"/>
      <c r="AG2" s="193"/>
      <c r="AH2" s="193"/>
      <c r="AI2" s="193"/>
      <c r="AJ2" s="193"/>
      <c r="AK2" s="193"/>
    </row>
    <row r="3" spans="1:100" x14ac:dyDescent="0.35">
      <c r="B3" s="3"/>
      <c r="C3" s="3"/>
      <c r="D3" s="3"/>
      <c r="E3" s="3"/>
      <c r="F3" s="3"/>
      <c r="G3" s="3"/>
      <c r="H3" s="3"/>
      <c r="AG3" s="193" t="s">
        <v>218</v>
      </c>
      <c r="AH3" s="193" t="s">
        <v>245</v>
      </c>
      <c r="AI3" s="193" t="s">
        <v>224</v>
      </c>
      <c r="AJ3" s="193" t="s">
        <v>211</v>
      </c>
      <c r="AK3" s="193"/>
    </row>
    <row r="4" spans="1:100" ht="39" customHeight="1" x14ac:dyDescent="0.35">
      <c r="B4" s="265" t="str">
        <f>'Program Info'!C4</f>
        <v>Paramedic Program Abridged AEMT LoR Application/LSSR</v>
      </c>
      <c r="C4" s="265"/>
      <c r="D4" s="265"/>
      <c r="E4" s="265"/>
      <c r="F4" s="265"/>
      <c r="G4" s="265"/>
      <c r="H4" s="265"/>
      <c r="I4" s="265"/>
      <c r="J4" s="265"/>
      <c r="K4" s="265"/>
      <c r="L4" s="265"/>
      <c r="M4" s="265"/>
      <c r="N4" s="265"/>
      <c r="O4" s="265"/>
      <c r="R4" s="22"/>
      <c r="S4" s="23"/>
      <c r="T4" s="8"/>
      <c r="AA4" s="22"/>
      <c r="AB4" s="23"/>
      <c r="AC4" s="8"/>
      <c r="AG4" s="193" t="s">
        <v>219</v>
      </c>
      <c r="AH4" s="193"/>
      <c r="AI4" s="193" t="s">
        <v>226</v>
      </c>
      <c r="AJ4" s="193" t="s">
        <v>232</v>
      </c>
      <c r="AK4" s="193"/>
      <c r="AR4" s="22"/>
      <c r="AS4" s="23"/>
      <c r="AT4" s="8"/>
      <c r="BA4" s="22"/>
      <c r="BB4" s="23"/>
      <c r="BC4" s="8"/>
      <c r="BJ4" s="22"/>
      <c r="BK4" s="23"/>
      <c r="BL4" s="8"/>
      <c r="BS4" s="22"/>
      <c r="BT4" s="23"/>
      <c r="BU4" s="8"/>
      <c r="CB4" s="22"/>
      <c r="CC4" s="23"/>
      <c r="CD4" s="8"/>
      <c r="CK4" s="22"/>
      <c r="CL4" s="23"/>
      <c r="CM4" s="8"/>
      <c r="CT4" s="22"/>
      <c r="CU4" s="23"/>
      <c r="CV4" s="8"/>
    </row>
    <row r="5" spans="1:100" ht="7.5" customHeight="1" x14ac:dyDescent="0.35">
      <c r="H5" s="19"/>
      <c r="I5" s="19"/>
      <c r="J5" s="19"/>
      <c r="K5" s="18"/>
      <c r="L5" s="18"/>
      <c r="M5" s="18"/>
      <c r="N5" s="18"/>
      <c r="O5" s="18"/>
      <c r="AG5" s="193"/>
      <c r="AH5" s="193"/>
      <c r="AI5" s="193" t="s">
        <v>225</v>
      </c>
      <c r="AJ5" s="193"/>
      <c r="AK5" s="193"/>
    </row>
    <row r="6" spans="1:100" ht="12.75" customHeight="1" x14ac:dyDescent="0.35">
      <c r="H6" s="19"/>
      <c r="I6" s="19"/>
      <c r="J6" s="19"/>
      <c r="K6" s="18"/>
      <c r="L6" s="18"/>
      <c r="M6" s="18"/>
      <c r="N6" s="18"/>
      <c r="O6" s="18"/>
      <c r="V6" s="12"/>
      <c r="AG6" s="193" t="s">
        <v>220</v>
      </c>
      <c r="AH6" s="193"/>
      <c r="AI6" s="193" t="s">
        <v>230</v>
      </c>
      <c r="AJ6" s="193"/>
      <c r="AK6" s="193"/>
    </row>
    <row r="7" spans="1:100" s="144" customFormat="1" ht="24" customHeight="1" x14ac:dyDescent="0.4">
      <c r="A7" s="207"/>
      <c r="B7" s="266" t="s">
        <v>212</v>
      </c>
      <c r="C7" s="266"/>
      <c r="D7" s="266"/>
      <c r="E7" s="266"/>
      <c r="F7" s="266"/>
      <c r="G7" s="266"/>
      <c r="H7" s="266"/>
      <c r="I7" s="266"/>
      <c r="J7" s="266"/>
      <c r="K7" s="266"/>
      <c r="L7" s="266"/>
      <c r="M7" s="266"/>
      <c r="N7" s="266"/>
      <c r="O7" s="266"/>
      <c r="X7" s="145"/>
      <c r="AB7" s="143"/>
      <c r="AG7" s="193" t="s">
        <v>222</v>
      </c>
      <c r="AH7" s="193"/>
      <c r="AI7" s="193" t="s">
        <v>240</v>
      </c>
      <c r="AJ7" s="193"/>
      <c r="AK7" s="193"/>
      <c r="AN7" s="145"/>
      <c r="AR7" s="143"/>
      <c r="BA7" s="145"/>
      <c r="BE7" s="143"/>
      <c r="BN7" s="145"/>
      <c r="BT7" s="145"/>
    </row>
    <row r="8" spans="1:100" s="28" customFormat="1" x14ac:dyDescent="0.35">
      <c r="A8" s="148"/>
      <c r="C8" s="112"/>
      <c r="L8" s="113" t="s">
        <v>7</v>
      </c>
      <c r="P8" s="148"/>
      <c r="Q8" s="113"/>
      <c r="R8" s="113"/>
      <c r="S8" s="148"/>
      <c r="T8" s="113"/>
      <c r="U8" s="113"/>
      <c r="V8" s="102"/>
      <c r="W8" s="113"/>
      <c r="X8" s="113"/>
      <c r="Y8" s="113"/>
      <c r="Z8" s="148"/>
      <c r="AA8" s="148"/>
      <c r="AB8" s="148"/>
      <c r="AG8" s="193" t="s">
        <v>223</v>
      </c>
      <c r="AH8" s="193"/>
      <c r="AI8" s="193"/>
      <c r="AJ8" s="193"/>
      <c r="AK8" s="193"/>
    </row>
    <row r="9" spans="1:100" s="28" customFormat="1" ht="15.5" x14ac:dyDescent="0.35">
      <c r="A9" s="148"/>
      <c r="B9" s="276" t="s">
        <v>196</v>
      </c>
      <c r="C9" s="177"/>
      <c r="D9" s="178" t="s">
        <v>197</v>
      </c>
      <c r="I9" s="113" t="str">
        <f>IF(D10="U.S. Post-secondary institution (Standard I.A.1)", 1, IF(D10="Hospital, clinic, or medical center (Standard I.A.3)", 3, IF(D10="Governmental education federal, state, local/municipal (Standard I.A.4)", 4, IF(D10="Outside U.S. Post-Secondary Institution (Standard I.A.2)", 2, IF(D10="Branch of the United States Armed Forces (Standard I.A.4)", 5, "")))))</f>
        <v/>
      </c>
      <c r="L9" s="179"/>
      <c r="P9" s="148"/>
      <c r="Q9" s="113">
        <f>IF(D10="U.S. Post-secondary institution (Standard I.A.1)", 1, IF(D10="Foreign Post-Secondary Institution (Standard I.A.2)",2, IF(D10="Hospital, clinic, or medical center (Standard I.A.3)",3, IF(D10="Governmental education or medical service (Standard I.A.4)",4, IF(D10="Branch of the United States Armed Forces (Standard I.A.4)", 5, 0)))))</f>
        <v>0</v>
      </c>
      <c r="R9" s="113"/>
      <c r="S9" s="113" t="s">
        <v>4</v>
      </c>
      <c r="T9" s="113"/>
      <c r="U9" s="113"/>
      <c r="V9" s="102"/>
      <c r="W9" s="113"/>
      <c r="X9" s="113"/>
      <c r="Y9" s="113"/>
      <c r="Z9" s="148"/>
      <c r="AA9" s="148"/>
      <c r="AB9" s="148"/>
      <c r="AG9" s="193" t="s">
        <v>221</v>
      </c>
      <c r="AH9" s="193"/>
      <c r="AI9" s="193"/>
      <c r="AJ9" s="193"/>
      <c r="AK9" s="193"/>
    </row>
    <row r="10" spans="1:100" s="28" customFormat="1" ht="27" customHeight="1" x14ac:dyDescent="0.35">
      <c r="A10" s="148"/>
      <c r="B10" s="276"/>
      <c r="C10" s="196" t="str">
        <f>IF(D10="U.S. Post-secondary institution (Standard I.A.1)",1,IF(D10="Outside U.S. Post-Secondary Institution (Standard I.A.2)",2,IF(D10="Hospital, clinic, or medical center (Standard I.A.3)",3,IF(D10="Governmental education federal, state, local/municipal (Standard I.A.4)",4,IF(D10="Branch of the United States Armed Forces (Standard I.A.4)",5,"")))))</f>
        <v/>
      </c>
      <c r="D10" s="377"/>
      <c r="E10" s="378"/>
      <c r="F10" s="378"/>
      <c r="G10" s="378"/>
      <c r="H10" s="379"/>
      <c r="I10" s="32" t="str">
        <f>IF(D10="", " &lt;=== Select from drop down list","")</f>
        <v xml:space="preserve"> &lt;=== Select from drop down list</v>
      </c>
      <c r="L10" s="179"/>
      <c r="P10" s="148"/>
      <c r="Q10" s="113"/>
      <c r="R10" s="113"/>
      <c r="S10" s="113" t="s">
        <v>199</v>
      </c>
      <c r="T10" s="113"/>
      <c r="U10" s="113"/>
      <c r="V10" s="113" t="s">
        <v>4</v>
      </c>
      <c r="W10" s="113" t="s">
        <v>198</v>
      </c>
      <c r="X10" s="113" t="s">
        <v>201</v>
      </c>
      <c r="Y10" s="113" t="s">
        <v>50</v>
      </c>
      <c r="Z10" s="113" t="s">
        <v>204</v>
      </c>
      <c r="AA10" s="113" t="s">
        <v>206</v>
      </c>
      <c r="AB10" s="113"/>
      <c r="AC10" s="113"/>
      <c r="AD10" s="113"/>
      <c r="AE10" s="113"/>
      <c r="AF10" s="113"/>
      <c r="AG10" s="193" t="s">
        <v>227</v>
      </c>
      <c r="AH10" s="193"/>
      <c r="AI10" s="193"/>
      <c r="AJ10" s="193"/>
      <c r="AK10" s="193"/>
    </row>
    <row r="11" spans="1:100" s="28" customFormat="1" ht="27" customHeight="1" x14ac:dyDescent="0.35">
      <c r="A11" s="148"/>
      <c r="B11" s="276"/>
      <c r="C11" s="112"/>
      <c r="E11" s="180"/>
      <c r="F11" s="198"/>
      <c r="G11" s="198"/>
      <c r="H11" s="198"/>
      <c r="I11" s="198"/>
      <c r="J11" s="198"/>
      <c r="K11" s="198"/>
      <c r="L11" s="113"/>
      <c r="P11" s="148"/>
      <c r="Q11" s="113"/>
      <c r="R11" s="113"/>
      <c r="S11" s="113" t="s">
        <v>200</v>
      </c>
      <c r="T11" s="113"/>
      <c r="U11" s="113"/>
      <c r="V11" s="102"/>
      <c r="W11" s="113"/>
      <c r="X11" s="113"/>
      <c r="Y11" s="113"/>
      <c r="Z11" s="148"/>
      <c r="AA11" s="148"/>
      <c r="AB11" s="148"/>
      <c r="AG11" s="193" t="s">
        <v>228</v>
      </c>
      <c r="AH11" s="193"/>
      <c r="AI11" s="193"/>
      <c r="AJ11" s="193"/>
      <c r="AK11" s="193"/>
    </row>
    <row r="12" spans="1:100" s="28" customFormat="1" ht="34.5" customHeight="1" x14ac:dyDescent="0.35">
      <c r="A12" s="148"/>
      <c r="C12" s="146"/>
      <c r="D12" s="181" t="str">
        <f>IF(I9=1,"Sponsoring Institution Accreditation - Post-Secondary Institution",IF(I9=2,"Sponsoring Institution Accreditation - Outside U.S. Post-Secondary Inst",IF(I9=3,"Sponsoring Institution Accreditation - Hospital, Clinic, or Med Ctr",IF(I9=4,"Governmental Authorization if applicable",IF(I9=5,"Sponsoring Institution Accreditation - Not Applicable","")))))</f>
        <v/>
      </c>
      <c r="E12" s="121"/>
      <c r="F12" s="121"/>
      <c r="G12" s="121"/>
      <c r="H12" s="121"/>
      <c r="J12" s="111" t="str">
        <f>IF(OR(I9=1,I9=3),"&lt;=== Hover cursor here to see definition","")</f>
        <v/>
      </c>
      <c r="K12" s="103"/>
      <c r="L12" s="199"/>
      <c r="P12" s="148"/>
      <c r="Q12" s="113"/>
      <c r="R12" s="113"/>
      <c r="S12" s="113" t="s">
        <v>202</v>
      </c>
      <c r="T12" s="113"/>
      <c r="U12" s="113"/>
      <c r="V12" s="102"/>
      <c r="W12" s="113"/>
      <c r="X12" s="113"/>
      <c r="Y12" s="113"/>
      <c r="Z12" s="148"/>
      <c r="AA12" s="148"/>
      <c r="AB12" s="148"/>
      <c r="AG12" s="193" t="s">
        <v>229</v>
      </c>
      <c r="AH12" s="193"/>
      <c r="AI12" s="193"/>
      <c r="AJ12" s="193"/>
      <c r="AK12" s="193"/>
    </row>
    <row r="13" spans="1:100" s="28" customFormat="1" ht="28.5" customHeight="1" x14ac:dyDescent="0.35">
      <c r="A13" s="148"/>
      <c r="B13" s="276" t="s">
        <v>96</v>
      </c>
      <c r="C13" s="112"/>
      <c r="E13" s="380" t="str">
        <f>IF(OR(I9=1,I9=2,I9=3),"Name of Institutional Accreditor",IF(I9=4,"Name of Governmental Authorization",""))</f>
        <v/>
      </c>
      <c r="F13" s="380"/>
      <c r="G13" s="278"/>
      <c r="H13" s="278"/>
      <c r="I13" s="278"/>
      <c r="J13" s="278"/>
      <c r="K13" s="103"/>
      <c r="L13" s="199"/>
      <c r="P13" s="148"/>
      <c r="Q13" s="113"/>
      <c r="R13" s="113"/>
      <c r="S13" s="113" t="s">
        <v>203</v>
      </c>
      <c r="T13" s="113"/>
      <c r="U13" s="113"/>
      <c r="V13" s="102"/>
      <c r="W13" s="113"/>
      <c r="X13" s="113"/>
      <c r="Y13" s="113"/>
      <c r="Z13" s="148"/>
      <c r="AA13" s="148"/>
      <c r="AB13" s="148"/>
      <c r="AG13" s="193" t="s">
        <v>231</v>
      </c>
      <c r="AH13" s="193"/>
      <c r="AI13" s="193"/>
      <c r="AJ13" s="193"/>
      <c r="AK13" s="193"/>
    </row>
    <row r="14" spans="1:100" s="28" customFormat="1" ht="18" customHeight="1" x14ac:dyDescent="0.35">
      <c r="A14" s="148"/>
      <c r="B14" s="276"/>
      <c r="C14" s="112"/>
      <c r="E14" s="28" t="str">
        <f>IF(OR(I9=1,I9=2,I9=3,I9=4),"Current Accreditation Status","")</f>
        <v/>
      </c>
      <c r="G14" s="279"/>
      <c r="H14" s="279"/>
      <c r="I14" s="279"/>
      <c r="J14" s="279"/>
      <c r="P14" s="148"/>
      <c r="Q14" s="113"/>
      <c r="R14" s="113"/>
      <c r="S14" s="113" t="s">
        <v>205</v>
      </c>
      <c r="T14" s="113"/>
      <c r="U14" s="113"/>
      <c r="V14" s="102"/>
      <c r="W14" s="113"/>
      <c r="X14" s="113"/>
      <c r="Y14" s="113"/>
      <c r="Z14" s="148"/>
      <c r="AA14" s="148"/>
      <c r="AB14" s="148"/>
      <c r="AG14" s="193" t="s">
        <v>234</v>
      </c>
      <c r="AH14" s="193"/>
      <c r="AI14" s="193"/>
      <c r="AJ14" s="193"/>
      <c r="AK14" s="193"/>
    </row>
    <row r="15" spans="1:100" s="28" customFormat="1" ht="24.75" customHeight="1" x14ac:dyDescent="0.35">
      <c r="A15" s="148"/>
      <c r="B15" s="276"/>
      <c r="C15" s="112"/>
      <c r="E15" s="28" t="str">
        <f>IF(OR(I9=1,I9=2,I9=3,I9=4),"Date of Last Award (mm, yyyy)","")</f>
        <v/>
      </c>
      <c r="G15" s="280"/>
      <c r="H15" s="280"/>
      <c r="P15" s="148"/>
      <c r="Q15" s="113"/>
      <c r="R15" s="113"/>
      <c r="S15" s="113" t="s">
        <v>207</v>
      </c>
      <c r="T15" s="113"/>
      <c r="U15" s="113"/>
      <c r="V15" s="102"/>
      <c r="W15" s="113"/>
      <c r="X15" s="113"/>
      <c r="Y15" s="113"/>
      <c r="Z15" s="148"/>
      <c r="AA15" s="148"/>
      <c r="AB15" s="148"/>
      <c r="AG15" s="193" t="s">
        <v>233</v>
      </c>
      <c r="AH15" s="193"/>
      <c r="AI15" s="193"/>
      <c r="AJ15" s="193"/>
      <c r="AK15" s="193"/>
    </row>
    <row r="16" spans="1:100" s="28" customFormat="1" ht="26.25" customHeight="1" x14ac:dyDescent="0.35">
      <c r="A16" s="148"/>
      <c r="C16" s="112"/>
      <c r="E16" s="28" t="str">
        <f>IF(OR(I9=1,I9=2,I9=3,I9=4),"Date of Expiration (mm,yyyy)","")</f>
        <v/>
      </c>
      <c r="G16" s="280"/>
      <c r="H16" s="280"/>
      <c r="P16" s="148"/>
      <c r="Q16" s="113"/>
      <c r="R16" s="113"/>
      <c r="S16" s="113" t="s">
        <v>208</v>
      </c>
      <c r="T16" s="113"/>
      <c r="U16" s="113"/>
      <c r="V16" s="102"/>
      <c r="W16" s="113"/>
      <c r="X16" s="113"/>
      <c r="Y16" s="113"/>
      <c r="Z16" s="148"/>
      <c r="AA16" s="148"/>
      <c r="AB16" s="148"/>
      <c r="AG16" s="193" t="s">
        <v>235</v>
      </c>
      <c r="AH16" s="193"/>
      <c r="AI16" s="193"/>
      <c r="AJ16" s="193"/>
      <c r="AK16" s="193"/>
    </row>
    <row r="17" spans="1:37" s="28" customFormat="1" ht="22.5" customHeight="1" x14ac:dyDescent="0.35">
      <c r="A17" s="148"/>
      <c r="C17" s="112"/>
      <c r="P17" s="148"/>
      <c r="Q17" s="113"/>
      <c r="R17" s="113"/>
      <c r="S17" s="113" t="s">
        <v>209</v>
      </c>
      <c r="T17" s="113"/>
      <c r="U17" s="113"/>
      <c r="V17" s="102"/>
      <c r="W17" s="113"/>
      <c r="X17" s="113"/>
      <c r="Y17" s="113"/>
      <c r="Z17" s="148"/>
      <c r="AA17" s="148"/>
      <c r="AB17" s="148"/>
      <c r="AG17" s="193" t="s">
        <v>236</v>
      </c>
      <c r="AH17" s="193"/>
      <c r="AI17" s="193"/>
      <c r="AJ17" s="193"/>
      <c r="AK17" s="193"/>
    </row>
    <row r="18" spans="1:37" s="28" customFormat="1" ht="17.25" customHeight="1" x14ac:dyDescent="0.35">
      <c r="A18" s="148"/>
      <c r="C18" s="112"/>
      <c r="D18" s="169"/>
      <c r="E18" s="381"/>
      <c r="F18" s="381"/>
      <c r="G18" s="381"/>
      <c r="H18" s="381"/>
      <c r="I18" s="381"/>
      <c r="J18" s="381"/>
      <c r="K18" s="182"/>
      <c r="L18" s="113"/>
      <c r="P18" s="148"/>
      <c r="Q18" s="148"/>
      <c r="R18" s="148"/>
      <c r="S18" s="102"/>
      <c r="T18" s="148"/>
      <c r="U18" s="148"/>
      <c r="V18" s="102"/>
      <c r="W18" s="148"/>
      <c r="X18" s="148"/>
      <c r="Y18" s="148"/>
      <c r="Z18" s="148"/>
      <c r="AA18" s="148"/>
      <c r="AB18" s="148"/>
      <c r="AG18" s="193" t="s">
        <v>237</v>
      </c>
      <c r="AH18" s="193"/>
      <c r="AI18" s="193"/>
      <c r="AJ18" s="193"/>
      <c r="AK18" s="193"/>
    </row>
    <row r="19" spans="1:37" s="28" customFormat="1" ht="89.25" customHeight="1" x14ac:dyDescent="0.35">
      <c r="A19" s="148"/>
      <c r="C19" s="112"/>
      <c r="D19" s="373" t="str">
        <f>IF(OR(C10="",C10=1), "The institutional accrediting agency of the Standard I.A. member must be notified of the AEMT educational program.  "&amp;"Place a copy of the formal written letter sent to the institutional accrediting agency identified above that the sponsor program accepts responsibility for an AEMT educational program "&amp;"in addition to their existing Paramedic program in the Application folder.  "&amp;"This document must be titled with the 'EXACT document name' and must be included as the type of file format listed below (not Word 97-2003 [.doc], Word 2013 [.docx], or Excel [.xlsx]).",IF(C10=2, "The CAAHEP International Eligibility Review Committee of the Standard I.A. member must be notified of the AEMT educational program.  "&amp;"Place a copy of CAAHEP's approval an AEMT educational program "&amp;"in addition to their existing Paramedic program in the Application folder.  "&amp;"This document must be titled with the 'EXACT document name' and must be included as the type of file format listed below (not Word 97-2003 [.doc], Word 2013 [.docx], or Excel [.xlsx]).",IF(C10=3, "Place evidence of valid institutional accreditation (i.e., website screenshot, official letter, certificate) in the Application folder.  "&amp;"This document must be titled with the 'EXACT document name' and must be included as the type of file format listed below (not Word 97-2003 [.doc], Word 2013 [.docx], or Excel [.xlsx]).", "")))</f>
        <v>The institutional accrediting agency of the Standard I.A. member must be notified of the AEMT educational program.  Place a copy of the formal written letter sent to the institutional accrediting agency identified above that the sponsor program accepts responsibility for an AEMT educational program in addition to their existing Paramedic program in the Application folder.  This document must be titled with the 'EXACT document name' and must be included as the type of file format listed below (not Word 97-2003 [.doc], Word 2013 [.docx], or Excel [.xlsx]).</v>
      </c>
      <c r="E19" s="373"/>
      <c r="F19" s="373"/>
      <c r="G19" s="373"/>
      <c r="H19" s="373"/>
      <c r="I19" s="373"/>
      <c r="J19" s="373"/>
      <c r="K19" s="373"/>
      <c r="L19" s="373"/>
      <c r="M19" s="373"/>
      <c r="N19" s="373"/>
      <c r="O19" s="373"/>
      <c r="P19" s="148"/>
      <c r="Q19" s="148"/>
      <c r="R19" s="113"/>
      <c r="S19" s="102"/>
      <c r="T19" s="113"/>
      <c r="U19" s="113"/>
      <c r="V19" s="102"/>
      <c r="W19" s="113"/>
      <c r="X19" s="113"/>
      <c r="Y19" s="148"/>
      <c r="Z19" s="148"/>
      <c r="AA19" s="148"/>
      <c r="AB19" s="148"/>
      <c r="AG19" s="193" t="s">
        <v>238</v>
      </c>
      <c r="AH19" s="193"/>
      <c r="AI19" s="193"/>
      <c r="AJ19" s="193"/>
      <c r="AK19" s="193"/>
    </row>
    <row r="20" spans="1:37" s="28" customFormat="1" ht="33" customHeight="1" x14ac:dyDescent="0.4">
      <c r="A20" s="113" t="str">
        <f>IF(AND(D10&lt;&gt;"",D19&lt;&gt;""),1,"")</f>
        <v/>
      </c>
      <c r="C20" s="150"/>
      <c r="D20" s="112"/>
      <c r="E20" s="370"/>
      <c r="F20" s="370"/>
      <c r="G20" s="370"/>
      <c r="H20" s="270" t="str">
        <f>IF(OR(I9=1,I9=2,I9=3),"      Exact Document Name:      01 Inst Accreditor Letter",IF(I9=4,"      Exact Document Name:      01 Authorization Letter","      Exact Document Name:      Inst Accreditor Letter"))</f>
        <v xml:space="preserve">      Exact Document Name:      Inst Accreditor Letter</v>
      </c>
      <c r="I20" s="270"/>
      <c r="J20" s="270"/>
      <c r="K20" s="270"/>
      <c r="L20" s="270"/>
      <c r="M20" s="270"/>
      <c r="N20" s="270"/>
      <c r="P20" s="148"/>
      <c r="Q20" s="148"/>
      <c r="R20" s="113"/>
      <c r="S20" s="102"/>
      <c r="T20" s="113"/>
      <c r="U20" s="113"/>
      <c r="V20" s="102"/>
      <c r="W20" s="113"/>
      <c r="X20" s="113"/>
      <c r="Y20" s="148"/>
      <c r="Z20" s="148"/>
      <c r="AA20" s="148"/>
      <c r="AB20" s="148"/>
      <c r="AG20" s="193" t="s">
        <v>239</v>
      </c>
      <c r="AH20" s="193"/>
      <c r="AI20" s="193"/>
      <c r="AJ20" s="193"/>
      <c r="AK20" s="193"/>
    </row>
    <row r="21" spans="1:37" s="28" customFormat="1" ht="20.25" customHeight="1" x14ac:dyDescent="0.35">
      <c r="A21" s="113">
        <f>IF(H24&lt;&gt;"",1,"")</f>
        <v>1</v>
      </c>
      <c r="C21" s="174"/>
      <c r="E21" s="271"/>
      <c r="F21" s="271"/>
      <c r="G21" s="271"/>
      <c r="H21" s="272" t="str">
        <f>IF(D19&lt;&gt;"","                          Type of File:      Adobe Portable Document (.pdf)","")</f>
        <v xml:space="preserve">                          Type of File:      Adobe Portable Document (.pdf)</v>
      </c>
      <c r="I21" s="272"/>
      <c r="J21" s="272"/>
      <c r="K21" s="272"/>
      <c r="L21" s="272"/>
      <c r="M21" s="272"/>
      <c r="N21" s="272"/>
      <c r="P21" s="148"/>
      <c r="Q21" s="148"/>
      <c r="R21" s="113"/>
      <c r="S21" s="102"/>
      <c r="T21" s="113"/>
      <c r="U21" s="113"/>
      <c r="V21" s="113"/>
      <c r="W21" s="113"/>
      <c r="X21" s="113"/>
      <c r="Y21" s="148"/>
      <c r="Z21" s="148"/>
      <c r="AA21" s="148"/>
      <c r="AB21" s="148"/>
      <c r="AG21" s="193" t="s">
        <v>241</v>
      </c>
      <c r="AH21" s="193"/>
      <c r="AI21" s="193"/>
      <c r="AJ21" s="193"/>
      <c r="AK21" s="193"/>
    </row>
    <row r="22" spans="1:37" s="28" customFormat="1" x14ac:dyDescent="0.35">
      <c r="A22" s="113" t="str">
        <f>IF(B27&lt;&gt;"",1,"")</f>
        <v/>
      </c>
      <c r="C22" s="112"/>
      <c r="E22" s="175"/>
      <c r="F22" s="198"/>
      <c r="G22" s="198"/>
      <c r="H22" s="198"/>
      <c r="I22" s="198"/>
      <c r="J22" s="198"/>
      <c r="K22" s="198"/>
      <c r="L22" s="113"/>
      <c r="P22" s="148"/>
      <c r="Q22" s="148"/>
      <c r="R22" s="113"/>
      <c r="S22" s="102"/>
      <c r="T22" s="113"/>
      <c r="U22" s="113"/>
      <c r="V22" s="113"/>
      <c r="W22" s="113"/>
      <c r="X22" s="113"/>
      <c r="Y22" s="148"/>
      <c r="Z22" s="148"/>
      <c r="AA22" s="148"/>
      <c r="AB22" s="148"/>
      <c r="AG22" s="193" t="s">
        <v>242</v>
      </c>
      <c r="AH22" s="193"/>
      <c r="AI22" s="193"/>
      <c r="AJ22" s="193"/>
      <c r="AK22" s="193"/>
    </row>
    <row r="23" spans="1:37" s="28" customFormat="1" ht="56.5" customHeight="1" x14ac:dyDescent="0.3">
      <c r="A23" s="113" t="str">
        <f>IF(OR(J46="No",J48="Yes"),1,"")</f>
        <v/>
      </c>
      <c r="C23" s="112"/>
      <c r="D23" s="322" t="str">
        <f>"Place evidence of approval (i.e., email, official letter) for the AEMT level from the "&amp;'Program Info'!F46 &amp;" State Office of EMS in the Application sub-folder.  "&amp;"This document must be titled with the 'EXACT document name' and must be included as the type of file format listed below (not Word 97-2003 [.doc], Word 2013 [.docx], or Excel [.xlsx])."</f>
        <v>Place evidence of approval (i.e., email, official letter) for the AEMT level from the  State Office of EMS in the Application sub-folder.  This document must be titled with the 'EXACT document name' and must be included as the type of file format listed below (not Word 97-2003 [.doc], Word 2013 [.docx], or Excel [.xlsx]).</v>
      </c>
      <c r="E23" s="322"/>
      <c r="F23" s="322"/>
      <c r="G23" s="322"/>
      <c r="H23" s="322"/>
      <c r="I23" s="322"/>
      <c r="J23" s="322"/>
      <c r="K23" s="322"/>
      <c r="L23" s="322"/>
      <c r="M23" s="322"/>
      <c r="N23" s="322"/>
      <c r="O23" s="322"/>
      <c r="P23" s="148"/>
      <c r="Q23" s="148"/>
      <c r="R23" s="148"/>
      <c r="S23" s="148"/>
      <c r="T23" s="148"/>
      <c r="U23" s="148"/>
      <c r="V23" s="148"/>
      <c r="W23" s="148"/>
      <c r="X23" s="148"/>
      <c r="Y23" s="148"/>
      <c r="Z23" s="148"/>
      <c r="AA23" s="148"/>
      <c r="AB23" s="148"/>
    </row>
    <row r="24" spans="1:37" s="28" customFormat="1" ht="35.25" customHeight="1" x14ac:dyDescent="0.4">
      <c r="A24" s="113">
        <f>IF(D79&lt;&gt;"",1,"")</f>
        <v>1</v>
      </c>
      <c r="C24" s="150"/>
      <c r="D24" s="112"/>
      <c r="E24" s="370" t="s">
        <v>94</v>
      </c>
      <c r="F24" s="370"/>
      <c r="G24" s="370"/>
      <c r="H24" s="274" t="str">
        <f>IF(AND(D10&lt;&gt;"",D19=""),"      Exact Document Name:      01 State Approval",IF(AND(D10&lt;&gt;"",D19&lt;&gt;""),"      Exact Document Name:      02 State Approval","      Exact Document Name:      State Approval"))</f>
        <v xml:space="preserve">      Exact Document Name:      State Approval</v>
      </c>
      <c r="I24" s="274"/>
      <c r="J24" s="274"/>
      <c r="K24" s="274"/>
      <c r="L24" s="274"/>
      <c r="M24" s="274"/>
      <c r="N24" s="274"/>
      <c r="S24" s="148"/>
      <c r="T24" s="148"/>
      <c r="U24" s="148"/>
      <c r="V24" s="148"/>
      <c r="W24" s="148"/>
      <c r="X24" s="148"/>
    </row>
    <row r="25" spans="1:37" s="28" customFormat="1" ht="24" customHeight="1" x14ac:dyDescent="0.3">
      <c r="A25" s="113">
        <f>IF(D132&lt;&gt;"",1,"")</f>
        <v>1</v>
      </c>
      <c r="C25" s="174"/>
      <c r="E25" s="271"/>
      <c r="F25" s="271"/>
      <c r="G25" s="271"/>
      <c r="H25" s="354" t="s">
        <v>195</v>
      </c>
      <c r="I25" s="354"/>
      <c r="J25" s="354"/>
      <c r="K25" s="354"/>
      <c r="L25" s="354"/>
      <c r="M25" s="354"/>
      <c r="N25" s="354"/>
      <c r="S25" s="148"/>
      <c r="T25" s="148"/>
      <c r="U25" s="148"/>
      <c r="V25" s="148"/>
      <c r="W25" s="148"/>
      <c r="X25" s="148"/>
    </row>
    <row r="26" spans="1:37" s="28" customFormat="1" ht="21" customHeight="1" x14ac:dyDescent="0.3">
      <c r="A26" s="113" t="str">
        <f>IF(D141&lt;&gt;"",1,"")</f>
        <v/>
      </c>
      <c r="C26" s="112"/>
      <c r="D26" s="169"/>
      <c r="E26" s="374"/>
      <c r="F26" s="367"/>
      <c r="G26" s="367"/>
      <c r="H26" s="367"/>
      <c r="I26" s="367"/>
      <c r="J26" s="367"/>
      <c r="K26" s="198"/>
      <c r="L26" s="113"/>
      <c r="S26" s="148"/>
      <c r="T26" s="148"/>
      <c r="U26" s="148"/>
      <c r="V26" s="148"/>
      <c r="W26" s="148"/>
      <c r="X26" s="148"/>
    </row>
    <row r="27" spans="1:37" s="28" customFormat="1" ht="30" customHeight="1" x14ac:dyDescent="0.4">
      <c r="A27" s="113" t="str">
        <f>IF(D159&lt;&gt;"",1,"")</f>
        <v/>
      </c>
      <c r="B27" s="1" t="str">
        <f>IF('Program Info'!G50="Yes", "Consortium Agreement","")</f>
        <v/>
      </c>
      <c r="C27" s="56"/>
      <c r="E27" s="74" t="str">
        <f>IF(B27&lt;&gt;"", "&lt;=== Hover cursor here to see definition", "")</f>
        <v/>
      </c>
      <c r="I27" s="102"/>
      <c r="J27" s="102"/>
      <c r="K27" s="102"/>
      <c r="L27" s="102"/>
      <c r="M27" s="102"/>
      <c r="N27" s="102"/>
      <c r="O27" s="375" t="str">
        <f>IF(B27&lt;&gt;"", "Link to Available Form      
(optional) ===&gt;", "")</f>
        <v/>
      </c>
      <c r="P27" s="375"/>
      <c r="Q27" s="375"/>
      <c r="R27" s="281" t="str">
        <f>IF(B27&lt;&gt;"", "Consortium Sponsorship Agreement - Sample", "")</f>
        <v/>
      </c>
      <c r="S27" s="281"/>
      <c r="T27" s="281"/>
      <c r="U27" s="281"/>
      <c r="V27" s="281"/>
      <c r="W27" s="282"/>
      <c r="X27" s="282"/>
      <c r="Y27" s="282"/>
      <c r="Z27" s="282"/>
      <c r="AA27" s="282"/>
    </row>
    <row r="28" spans="1:37" s="28" customFormat="1" ht="22.5" customHeight="1" x14ac:dyDescent="0.3">
      <c r="A28" s="113" t="str">
        <f>IF(D178&lt;&gt;"",1,"")</f>
        <v/>
      </c>
      <c r="B28" s="170"/>
      <c r="D28" s="283" t="str">
        <f>IF($B27&lt;&gt;"", "CoAEMSP provides a form.  See available link to the right ====&gt;", "")</f>
        <v/>
      </c>
      <c r="E28" s="283"/>
      <c r="F28" s="283"/>
      <c r="G28" s="283"/>
      <c r="H28" s="283"/>
      <c r="I28" s="283"/>
      <c r="J28" s="283"/>
    </row>
    <row r="29" spans="1:37" s="28" customFormat="1" ht="15" customHeight="1" x14ac:dyDescent="0.3">
      <c r="A29" s="113" t="str">
        <f>IF(D201&lt;&gt;"",1,"")</f>
        <v/>
      </c>
      <c r="I29" s="102"/>
      <c r="J29" s="102"/>
      <c r="K29" s="102"/>
      <c r="L29" s="102"/>
      <c r="M29" s="102"/>
      <c r="N29" s="102"/>
      <c r="O29" s="102"/>
      <c r="P29" s="102"/>
      <c r="Q29" s="102"/>
      <c r="R29" s="102"/>
    </row>
    <row r="30" spans="1:37" s="28" customFormat="1" ht="115.5" customHeight="1" x14ac:dyDescent="0.3">
      <c r="A30" s="113">
        <f>IF(D224&lt;&gt;"",1,"")</f>
        <v>1</v>
      </c>
      <c r="C30" s="171"/>
      <c r="D30" s="353" t="str">
        <f>IF($B27&lt;&gt;"", "A consortium agreement is an agreement, contract, or memorandum of understanding between two or more entities that exist for the purpose of operating an educational program and should include all educational program levels (i.e., AEMT and Paramedic).  "&amp;"Consortium sponsors must identify all current members of the consortium where CoAEMSP Letter of Review (LoR) or CAAHEP accreditation is referenced."&amp;"
List all consortium sponsor "&amp;"members below and indicate if that member meets a Standard I.A. category: 
(at least one member must meet Standard I.A. requirements)", "")</f>
        <v/>
      </c>
      <c r="E30" s="353"/>
      <c r="F30" s="353"/>
      <c r="G30" s="353"/>
      <c r="H30" s="353"/>
      <c r="I30" s="353"/>
      <c r="J30" s="353"/>
      <c r="K30" s="353"/>
      <c r="L30" s="353"/>
      <c r="M30" s="353"/>
      <c r="N30" s="102"/>
      <c r="O30" s="102"/>
      <c r="P30" s="102"/>
      <c r="Q30" s="102"/>
      <c r="R30" s="102"/>
    </row>
    <row r="31" spans="1:37" s="28" customFormat="1" ht="14.25" customHeight="1" x14ac:dyDescent="0.3">
      <c r="A31" s="148"/>
      <c r="D31" s="267"/>
      <c r="E31" s="267"/>
      <c r="F31" s="267"/>
      <c r="G31" s="267"/>
      <c r="H31" s="165"/>
      <c r="I31" s="268"/>
      <c r="J31" s="268"/>
      <c r="K31" s="198"/>
      <c r="L31" s="102"/>
      <c r="M31" s="102"/>
      <c r="N31" s="102"/>
      <c r="O31" s="102"/>
      <c r="P31" s="102"/>
      <c r="Q31" s="102"/>
      <c r="R31" s="102"/>
    </row>
    <row r="32" spans="1:37" s="28" customFormat="1" ht="14.25" customHeight="1" x14ac:dyDescent="0.3">
      <c r="A32" s="148"/>
      <c r="D32" s="267"/>
      <c r="E32" s="267"/>
      <c r="F32" s="267"/>
      <c r="G32" s="267"/>
      <c r="H32" s="165"/>
      <c r="I32" s="268"/>
      <c r="J32" s="268"/>
      <c r="K32" s="198"/>
      <c r="L32" s="102"/>
      <c r="M32" s="102"/>
      <c r="N32" s="102"/>
      <c r="O32" s="102"/>
      <c r="P32" s="102"/>
      <c r="Q32" s="102"/>
      <c r="R32" s="102"/>
    </row>
    <row r="33" spans="1:37" s="28" customFormat="1" ht="14" x14ac:dyDescent="0.3">
      <c r="A33" s="148"/>
      <c r="D33" s="267"/>
      <c r="E33" s="267"/>
      <c r="F33" s="267"/>
      <c r="G33" s="267"/>
      <c r="H33" s="165"/>
      <c r="I33" s="268"/>
      <c r="J33" s="268"/>
      <c r="K33" s="198"/>
      <c r="L33" s="102"/>
      <c r="M33" s="102"/>
      <c r="N33" s="102"/>
      <c r="O33" s="102"/>
      <c r="P33" s="102"/>
      <c r="Q33" s="172"/>
      <c r="R33" s="102"/>
    </row>
    <row r="34" spans="1:37" s="28" customFormat="1" ht="14" x14ac:dyDescent="0.3">
      <c r="A34" s="148"/>
      <c r="C34" s="112"/>
      <c r="D34" s="267"/>
      <c r="E34" s="267"/>
      <c r="F34" s="267"/>
      <c r="G34" s="267"/>
      <c r="H34" s="165"/>
      <c r="I34" s="268"/>
      <c r="J34" s="268"/>
    </row>
    <row r="35" spans="1:37" s="28" customFormat="1" ht="14" x14ac:dyDescent="0.3">
      <c r="A35" s="148"/>
      <c r="I35" s="102"/>
      <c r="J35" s="102"/>
      <c r="K35" s="102"/>
      <c r="L35" s="102"/>
      <c r="M35" s="102"/>
      <c r="N35" s="102"/>
      <c r="O35" s="102"/>
      <c r="P35" s="102"/>
      <c r="Q35" s="102"/>
      <c r="R35" s="102"/>
    </row>
    <row r="36" spans="1:37" s="28" customFormat="1" ht="14" x14ac:dyDescent="0.3">
      <c r="A36" s="148"/>
      <c r="C36" s="112"/>
    </row>
    <row r="37" spans="1:37" s="28" customFormat="1" ht="72" customHeight="1" x14ac:dyDescent="0.3">
      <c r="A37" s="148"/>
      <c r="C37" s="112"/>
      <c r="D37" s="269" t="str">
        <f>IF($B27&lt;&gt;"","Place a copy of a fully executed addendum of the consortum agreement or a fully executed revised consortium agreement which identifies the educational program levels (i.e., AEMT and Paramedic) in the Application sub-folder.  "&amp;"This document must be titled with the 'EXACT document name' and must be included as the type of file format listed below (not Word 97-2003 [.doc], Word 2013 [.docx], or Excel [.xlsx]).","")</f>
        <v/>
      </c>
      <c r="E37" s="269"/>
      <c r="F37" s="269"/>
      <c r="G37" s="269"/>
      <c r="H37" s="269"/>
      <c r="I37" s="269"/>
      <c r="J37" s="269"/>
      <c r="K37" s="269"/>
      <c r="L37" s="269"/>
      <c r="M37" s="269"/>
      <c r="N37" s="269"/>
      <c r="O37" s="269"/>
      <c r="S37" s="113" t="s">
        <v>7</v>
      </c>
    </row>
    <row r="38" spans="1:37" s="28" customFormat="1" ht="53.25" customHeight="1" x14ac:dyDescent="0.4">
      <c r="A38" s="148"/>
      <c r="C38" s="112"/>
      <c r="D38" s="194"/>
      <c r="E38" s="195"/>
      <c r="F38" s="173"/>
      <c r="G38" s="173"/>
      <c r="H38" s="270" t="str">
        <f>IF(AND(D19&lt;&gt;"",H24&lt;&gt;"",B27&lt;&gt;""), "                Exact Document Name:      03 Consortium Addendum",IF(AND(D19="",H24&lt;&gt;"",B27&lt;&gt;""), "                Exact Document Name:      02 Consortium Addendum",""))</f>
        <v/>
      </c>
      <c r="I38" s="270"/>
      <c r="J38" s="270"/>
      <c r="K38" s="270"/>
      <c r="L38" s="270"/>
      <c r="M38" s="270"/>
      <c r="N38" s="270"/>
      <c r="S38" s="113" t="s">
        <v>50</v>
      </c>
    </row>
    <row r="39" spans="1:37" s="28" customFormat="1" ht="24" customHeight="1" x14ac:dyDescent="0.3">
      <c r="A39" s="148"/>
      <c r="C39" s="174"/>
      <c r="E39" s="271"/>
      <c r="F39" s="271"/>
      <c r="G39" s="271"/>
      <c r="H39" s="272" t="str">
        <f>IF($B27&lt;&gt;"", "                          Type of File:      Adobe Portable Document (.pdf)", "")</f>
        <v/>
      </c>
      <c r="I39" s="272"/>
      <c r="J39" s="272"/>
      <c r="K39" s="272"/>
      <c r="L39" s="272"/>
      <c r="M39" s="272"/>
      <c r="N39" s="272"/>
      <c r="S39" s="113" t="s">
        <v>193</v>
      </c>
    </row>
    <row r="40" spans="1:37" s="28" customFormat="1" ht="14" x14ac:dyDescent="0.3">
      <c r="A40" s="148"/>
      <c r="C40" s="112"/>
    </row>
    <row r="41" spans="1:37" s="28" customFormat="1" ht="14" x14ac:dyDescent="0.3">
      <c r="A41" s="148"/>
      <c r="C41" s="112"/>
    </row>
    <row r="42" spans="1:37" s="28" customFormat="1" ht="14" x14ac:dyDescent="0.3">
      <c r="A42" s="148"/>
      <c r="I42" s="102"/>
      <c r="J42" s="102"/>
      <c r="K42" s="102"/>
      <c r="L42" s="102"/>
      <c r="M42" s="102"/>
      <c r="N42" s="102"/>
      <c r="O42" s="102"/>
      <c r="P42" s="102"/>
      <c r="Q42" s="102"/>
      <c r="R42" s="102"/>
    </row>
    <row r="43" spans="1:37" s="28" customFormat="1" ht="21" customHeight="1" x14ac:dyDescent="0.3">
      <c r="A43" s="148"/>
      <c r="C43" s="112"/>
      <c r="S43" s="148"/>
    </row>
    <row r="44" spans="1:37" ht="12.75" customHeight="1" x14ac:dyDescent="0.35">
      <c r="H44" s="19"/>
      <c r="I44" s="19"/>
      <c r="J44" s="19"/>
      <c r="K44" s="18"/>
      <c r="L44" s="18"/>
      <c r="M44" s="18"/>
      <c r="N44" s="18"/>
      <c r="O44" s="18"/>
      <c r="AG44" s="28"/>
      <c r="AH44" s="28"/>
      <c r="AI44" s="28"/>
      <c r="AJ44" s="28"/>
      <c r="AK44" s="28"/>
    </row>
    <row r="45" spans="1:37" ht="18" x14ac:dyDescent="0.4">
      <c r="B45" s="99" t="s">
        <v>97</v>
      </c>
      <c r="C45" s="2"/>
      <c r="E45" s="74" t="str">
        <f>IF(B45&lt;&gt;"", "&lt;=== Hover cursor here to see definition", "")</f>
        <v>&lt;=== Hover cursor here to see definition</v>
      </c>
      <c r="I45" s="12"/>
      <c r="J45" s="12"/>
      <c r="K45" s="12"/>
      <c r="L45" s="12"/>
      <c r="M45" s="12"/>
      <c r="N45" s="12"/>
      <c r="O45" s="12"/>
      <c r="P45" s="12"/>
      <c r="Q45" s="12"/>
      <c r="R45" s="12"/>
      <c r="S45" s="45"/>
      <c r="T45" s="45"/>
      <c r="U45" s="45"/>
      <c r="V45" s="45"/>
      <c r="W45" s="45"/>
      <c r="X45" s="45"/>
    </row>
    <row r="46" spans="1:37" ht="17.25" customHeight="1" x14ac:dyDescent="0.35">
      <c r="B46" s="6"/>
      <c r="C46" s="58"/>
      <c r="D46" s="286" t="str">
        <f>'Program Info'!C51</f>
        <v>Is the program sponsor authorized to award academic/college credit for the coursework?</v>
      </c>
      <c r="E46" s="286"/>
      <c r="F46" s="286"/>
      <c r="G46" s="286"/>
      <c r="H46" s="286"/>
      <c r="I46" s="286"/>
      <c r="J46" s="287">
        <f>'Program Info'!G51</f>
        <v>0</v>
      </c>
      <c r="K46" s="289" t="s">
        <v>215</v>
      </c>
      <c r="L46" s="290"/>
      <c r="M46" s="290"/>
      <c r="N46" s="290"/>
      <c r="O46" s="290"/>
    </row>
    <row r="47" spans="1:37" x14ac:dyDescent="0.35">
      <c r="D47" s="286"/>
      <c r="E47" s="286"/>
      <c r="F47" s="286"/>
      <c r="G47" s="286"/>
      <c r="H47" s="286"/>
      <c r="I47" s="286"/>
      <c r="J47" s="288"/>
      <c r="K47" s="289"/>
      <c r="L47" s="290"/>
      <c r="M47" s="290"/>
      <c r="N47" s="290"/>
      <c r="O47" s="290"/>
      <c r="P47" s="12"/>
      <c r="Q47" s="12"/>
      <c r="R47" s="12"/>
      <c r="S47" s="45"/>
      <c r="T47" s="45"/>
      <c r="U47" s="45"/>
      <c r="V47" s="45"/>
      <c r="W47" s="45"/>
      <c r="X47" s="45"/>
    </row>
    <row r="48" spans="1:37" s="28" customFormat="1" ht="30.75" customHeight="1" x14ac:dyDescent="0.35">
      <c r="A48" s="148"/>
      <c r="D48" s="382" t="str">
        <f>'Program Info'!C52</f>
        <v>Does the program sponsor have an articulation agreement(s)?</v>
      </c>
      <c r="E48" s="382"/>
      <c r="F48" s="382"/>
      <c r="G48" s="382"/>
      <c r="H48" s="382"/>
      <c r="I48" s="382"/>
      <c r="J48" s="209">
        <f>'Program Info'!G52</f>
        <v>0</v>
      </c>
      <c r="K48" s="383" t="s">
        <v>262</v>
      </c>
      <c r="L48" s="384"/>
      <c r="M48" s="384"/>
      <c r="N48" s="384"/>
      <c r="O48" s="384"/>
      <c r="P48" s="102"/>
      <c r="Q48" s="102"/>
      <c r="R48" s="102"/>
      <c r="AG48"/>
      <c r="AH48"/>
      <c r="AI48"/>
      <c r="AJ48"/>
      <c r="AK48"/>
    </row>
    <row r="49" spans="1:37" s="28" customFormat="1" ht="14" x14ac:dyDescent="0.3">
      <c r="A49" s="148"/>
      <c r="I49" s="102"/>
      <c r="J49" s="102"/>
      <c r="K49" s="102"/>
      <c r="L49" s="102"/>
      <c r="M49" s="102"/>
      <c r="N49" s="102"/>
      <c r="O49" s="102"/>
      <c r="P49" s="102"/>
      <c r="Q49" s="102"/>
      <c r="R49" s="102"/>
    </row>
    <row r="50" spans="1:37" ht="34.5" customHeight="1" x14ac:dyDescent="0.35">
      <c r="C50" s="91"/>
      <c r="D50" s="320" t="str">
        <f>IF(OR(J46="No",J48="Yes"), "Number of articulation agreements:", "")</f>
        <v/>
      </c>
      <c r="E50" s="320"/>
      <c r="F50" s="320"/>
      <c r="G50" s="320"/>
      <c r="H50" s="320"/>
      <c r="I50" s="320"/>
      <c r="J50" s="101"/>
      <c r="K50" s="102"/>
      <c r="L50" s="12"/>
      <c r="M50" s="12"/>
      <c r="N50" s="12"/>
      <c r="O50" s="12"/>
      <c r="P50" s="12"/>
      <c r="Q50" s="12"/>
      <c r="R50" s="12"/>
      <c r="S50" s="45"/>
      <c r="T50" s="45"/>
      <c r="U50" s="45"/>
      <c r="V50" s="45"/>
      <c r="W50" s="45"/>
      <c r="X50" s="45"/>
      <c r="AG50" s="28"/>
      <c r="AH50" s="28"/>
      <c r="AI50" s="28"/>
      <c r="AJ50" s="28"/>
      <c r="AK50" s="28"/>
    </row>
    <row r="51" spans="1:37" x14ac:dyDescent="0.35">
      <c r="C51" s="28"/>
      <c r="I51" s="12"/>
      <c r="J51" s="12"/>
      <c r="K51" s="12"/>
      <c r="L51" s="12"/>
      <c r="M51" s="12"/>
      <c r="N51" s="12"/>
      <c r="O51" s="12"/>
      <c r="P51" s="12"/>
      <c r="Q51" s="12"/>
      <c r="R51" s="12"/>
      <c r="S51" s="45"/>
      <c r="T51" s="45"/>
      <c r="U51" s="45"/>
      <c r="V51" s="45"/>
      <c r="W51" s="45"/>
      <c r="X51" s="45"/>
    </row>
    <row r="52" spans="1:37" ht="51" customHeight="1" x14ac:dyDescent="0.35">
      <c r="B52" s="276" t="s">
        <v>96</v>
      </c>
      <c r="C52" s="27"/>
      <c r="D52" s="320" t="str">
        <f>IF(AND(J46="Yes",J50&lt;&gt;""),"Name of educational institution (college) and number of credits granted in the articulation agreement if graduates enroll at the educational institution:",IF(OR(AND(J46="No",J48="No",J50=""),AND(J46=0,J50="")),"There must be a pathway for graduates to obtain college credit upon completion of the AEMT program.  Do not submit this application if there is not at least one (1) fully executed articulation agreement.",""))</f>
        <v>There must be a pathway for graduates to obtain college credit upon completion of the AEMT program.  Do not submit this application if there is not at least one (1) fully executed articulation agreement.</v>
      </c>
      <c r="E52" s="320"/>
      <c r="F52" s="320"/>
      <c r="G52" s="320"/>
      <c r="H52" s="320"/>
      <c r="I52" s="320"/>
      <c r="J52" s="320"/>
      <c r="K52" s="320"/>
      <c r="L52" s="102"/>
      <c r="M52" s="102"/>
      <c r="N52" s="102"/>
      <c r="O52" s="102"/>
      <c r="P52" s="12"/>
      <c r="Q52" s="12"/>
      <c r="R52" s="12"/>
      <c r="S52" s="45"/>
      <c r="T52" s="45"/>
      <c r="U52" s="45"/>
      <c r="V52" s="45"/>
      <c r="W52" s="45"/>
      <c r="X52" s="45"/>
    </row>
    <row r="53" spans="1:37" ht="18.75" customHeight="1" x14ac:dyDescent="0.35">
      <c r="B53" s="276"/>
      <c r="C53" s="200"/>
      <c r="D53" s="103" t="str">
        <f>IF(AND(J46="Yes",J50&gt;=2), "First:     ", "")</f>
        <v/>
      </c>
      <c r="E53" s="267"/>
      <c r="F53" s="267"/>
      <c r="G53" s="267"/>
      <c r="H53" s="267"/>
      <c r="I53" s="28"/>
      <c r="J53" s="104"/>
      <c r="K53" s="102"/>
      <c r="L53" s="102"/>
      <c r="M53" s="102"/>
      <c r="N53" s="102"/>
      <c r="O53" s="102"/>
      <c r="P53" s="12"/>
      <c r="Q53" s="12"/>
      <c r="R53" s="12"/>
      <c r="S53" s="45"/>
      <c r="T53" s="45"/>
      <c r="U53" s="45"/>
      <c r="V53" s="45"/>
      <c r="W53" s="45"/>
      <c r="X53" s="45"/>
    </row>
    <row r="54" spans="1:37" ht="18.75" customHeight="1" x14ac:dyDescent="0.35">
      <c r="B54" s="276"/>
      <c r="C54" s="200"/>
      <c r="D54" s="103" t="str">
        <f>IF(AND(J46="Yes",J50&gt;=2), "Second:     ", "")</f>
        <v/>
      </c>
      <c r="E54" s="267"/>
      <c r="F54" s="267"/>
      <c r="G54" s="267"/>
      <c r="H54" s="267"/>
      <c r="I54" s="28"/>
      <c r="J54" s="104"/>
      <c r="K54" s="102"/>
      <c r="L54" s="102"/>
      <c r="M54" s="102"/>
      <c r="N54" s="102"/>
      <c r="O54" s="102"/>
      <c r="P54" s="12"/>
      <c r="Q54" s="12"/>
      <c r="R54" s="12"/>
      <c r="S54" s="45"/>
      <c r="T54" s="45"/>
      <c r="U54" s="45"/>
      <c r="V54" s="45"/>
      <c r="W54" s="45"/>
      <c r="X54" s="45"/>
    </row>
    <row r="55" spans="1:37" ht="18.75" customHeight="1" x14ac:dyDescent="0.35">
      <c r="C55" s="200"/>
      <c r="D55" s="103" t="str">
        <f>IF(AND(J46="Yes",J50&gt;=3), "Third:     ", "")</f>
        <v/>
      </c>
      <c r="E55" s="267"/>
      <c r="F55" s="267"/>
      <c r="G55" s="267"/>
      <c r="H55" s="267"/>
      <c r="I55" s="28"/>
      <c r="J55" s="104"/>
      <c r="K55" s="102"/>
      <c r="L55" s="102"/>
      <c r="M55" s="102"/>
      <c r="N55" s="102"/>
      <c r="O55" s="102"/>
      <c r="P55" s="12"/>
      <c r="Q55" s="12"/>
      <c r="R55" s="12"/>
      <c r="S55" s="45"/>
      <c r="T55" s="45"/>
      <c r="U55" s="45"/>
      <c r="V55" s="45"/>
      <c r="W55" s="45"/>
      <c r="X55" s="45"/>
    </row>
    <row r="56" spans="1:37" ht="18.75" customHeight="1" x14ac:dyDescent="0.35">
      <c r="C56" s="200"/>
      <c r="D56" s="103" t="str">
        <f>IF(AND(J46="Yes",J50&gt;=4), "Fourth:     ", "")</f>
        <v/>
      </c>
      <c r="E56" s="267"/>
      <c r="F56" s="267"/>
      <c r="G56" s="267"/>
      <c r="H56" s="267"/>
      <c r="I56" s="28"/>
      <c r="J56" s="104"/>
      <c r="K56" s="102"/>
      <c r="L56" s="102"/>
      <c r="M56" s="102"/>
      <c r="N56" s="102"/>
      <c r="O56" s="102"/>
      <c r="P56" s="12"/>
      <c r="Q56" s="12"/>
      <c r="R56" s="12"/>
      <c r="S56" s="45"/>
      <c r="T56" s="45"/>
      <c r="U56" s="45"/>
      <c r="V56" s="45"/>
      <c r="W56" s="45"/>
      <c r="X56" s="45"/>
    </row>
    <row r="57" spans="1:37" x14ac:dyDescent="0.35">
      <c r="D57" s="28"/>
      <c r="E57" s="28"/>
      <c r="F57" s="28"/>
      <c r="G57" s="28"/>
      <c r="H57" s="28"/>
      <c r="I57" s="102"/>
      <c r="J57" s="102"/>
      <c r="K57" s="102"/>
      <c r="L57" s="102"/>
      <c r="M57" s="102"/>
      <c r="N57" s="102"/>
      <c r="O57" s="102"/>
      <c r="P57" s="12"/>
      <c r="Q57" s="12"/>
      <c r="R57" s="12"/>
      <c r="S57" s="45"/>
      <c r="T57" s="45"/>
      <c r="U57" s="45"/>
      <c r="V57" s="45"/>
      <c r="W57" s="45"/>
      <c r="X57" s="45"/>
    </row>
    <row r="58" spans="1:37" x14ac:dyDescent="0.35">
      <c r="C58" s="9"/>
      <c r="D58" s="28"/>
      <c r="E58" s="28"/>
      <c r="F58" s="28"/>
      <c r="G58" s="28"/>
      <c r="H58" s="28"/>
      <c r="I58" s="28"/>
      <c r="J58" s="28"/>
      <c r="K58" s="28"/>
      <c r="L58" s="28"/>
      <c r="M58" s="28"/>
      <c r="N58" s="28"/>
      <c r="O58" s="28"/>
      <c r="S58" s="45"/>
      <c r="T58" s="45"/>
      <c r="U58" s="45"/>
      <c r="V58" s="45"/>
      <c r="W58" s="45"/>
      <c r="X58" s="45"/>
    </row>
    <row r="59" spans="1:37" ht="63.75" customHeight="1" x14ac:dyDescent="0.35">
      <c r="C59" s="9"/>
      <c r="D59" s="317" t="str">
        <f>IF(AND(J48="Yes",J50=1),"Place a copy of the fully executed articulation agreement in the Application sub-folder. "&amp;"This document must be titled with the 'EXACT document name' and must be included as the type of file format listed below (not Word, 97-2003 [.doc], Word 2013 [.docx], or Excel [.xlsx]).", IF(AND(J48="Yes",J50&gt;=2),"Place a copy of the fully executed articulation agreements in the Application sub-folder.  "&amp;"Each document must be titled with the 'EXACT document name' and must be included as the type of file format listed below (not Word, 97-2003 [.doc], Word 2013 [.docx], or Excel [.xlsx]).",""))</f>
        <v/>
      </c>
      <c r="E59" s="317"/>
      <c r="F59" s="317"/>
      <c r="G59" s="317"/>
      <c r="H59" s="317"/>
      <c r="I59" s="317"/>
      <c r="J59" s="317"/>
      <c r="K59" s="317"/>
      <c r="L59" s="317"/>
      <c r="M59" s="317"/>
      <c r="N59" s="317"/>
      <c r="O59" s="317"/>
      <c r="S59" s="45"/>
      <c r="T59" s="45"/>
      <c r="U59" s="45"/>
      <c r="V59" s="45"/>
      <c r="W59" s="45"/>
      <c r="X59" s="45"/>
    </row>
    <row r="60" spans="1:37" ht="27" customHeight="1" x14ac:dyDescent="0.35">
      <c r="C60" s="9"/>
      <c r="H60" s="294" t="str">
        <f>IF(AND(J48="Yes",J50=1),"        Exact Document Name:", IF(AND(J48="Yes",J50&gt;=2), "            Exact Document Name (for each):", ""))</f>
        <v/>
      </c>
      <c r="I60" s="294"/>
      <c r="J60" s="294"/>
      <c r="K60" s="294"/>
      <c r="L60" s="294"/>
      <c r="M60" s="294"/>
      <c r="N60" s="294"/>
      <c r="S60" s="45"/>
      <c r="T60" s="45"/>
      <c r="U60" s="45"/>
      <c r="V60" s="45"/>
      <c r="W60" s="45"/>
      <c r="X60" s="45"/>
    </row>
    <row r="61" spans="1:37" ht="30.75" customHeight="1" x14ac:dyDescent="0.35">
      <c r="C61" s="9"/>
      <c r="D61" s="9"/>
      <c r="H61" s="270" t="str">
        <f>IF(OR(AND(A20=1,A21=1,A22=1,J48="Yes",J50=1),AND(A20=1,A21=1,A22=1,J46="Yes",J50=1)),"                                               04 Articulation",IF(OR(AND(A20=1,A21=1,A22=1,J48="Yes",J50&gt;=2),AND(A20=1,A21=1,A22=1,J46="Yes",J50&gt;=2)),"                                               04 Articulation 01",IF(OR(AND(A20="",A21=1,A22=1,J48="Yes",J50=1),AND(A20=1,A21=1,A22="",J48="Yes",J50=1)),"                                               03 Articulation",IF(OR(AND(A20="",A21=1,A22=1,J48="Yes",J50&gt;=2),AND(A20=1,A21=1,A22="",J48="Yes",J50&gt;=2)),"                                               03 Articulation 01",IF(OR(AND(A20="",A21=1,A22="",J48="Yes",J50=1),AND(A20="",A21=1,A22="",J46="Yes",J50=1)),"                                               02 Articulation",IF(OR(AND(A20="",A21=1,A22="",J48="Yes",J50&gt;=2),AND(A20="",A21=1,A22="",J46="Yes",J50&gt;=2)),"                                               02 Articulation 01",""))))))</f>
        <v/>
      </c>
      <c r="I61" s="270"/>
      <c r="J61" s="270"/>
      <c r="K61" s="270"/>
      <c r="L61" s="270"/>
      <c r="M61" s="270"/>
      <c r="N61" s="270"/>
      <c r="S61" s="45"/>
      <c r="T61" s="45"/>
      <c r="U61" s="45"/>
      <c r="V61" s="45"/>
      <c r="W61" s="45"/>
      <c r="X61" s="45"/>
    </row>
    <row r="62" spans="1:37" ht="29.25" customHeight="1" x14ac:dyDescent="0.35">
      <c r="C62" s="9"/>
      <c r="E62" s="100"/>
      <c r="F62" s="100"/>
      <c r="G62" s="100"/>
      <c r="H62" s="270" t="str">
        <f>IF(AND(J50&gt;=2,H61="                                               03 Articulation 01"),"                                               03 Articulation 02",IF(AND(J50&gt;=2,H61="                                               04 Articulation 01"),"                                               04 Articulation 02",IF(AND(J50&gt;=2,H61="                                               02 Articulation 01"),"                                               02 Articulation 02","")))</f>
        <v/>
      </c>
      <c r="I62" s="270"/>
      <c r="J62" s="270"/>
      <c r="K62" s="270"/>
      <c r="L62" s="270"/>
      <c r="M62" s="270"/>
      <c r="N62" s="270"/>
      <c r="S62" s="45"/>
      <c r="T62" s="45"/>
      <c r="U62" s="45"/>
      <c r="V62" s="45"/>
      <c r="W62" s="45"/>
      <c r="X62" s="45"/>
    </row>
    <row r="63" spans="1:37" ht="27" customHeight="1" x14ac:dyDescent="0.35">
      <c r="C63" s="9"/>
      <c r="H63" s="270" t="str">
        <f>IF(AND(J50&gt;=3,H61="                                               03 Articulation 01"),"                                               03 Articulation 03",IF(AND(J50&gt;=3,H61="                                               04 Articulation 01"), "                                               04 Articulation 03", IF(AND(J50&gt;=3,H61="                                               02 Articulation 01"),"                                               02 Articulation 03","")))</f>
        <v/>
      </c>
      <c r="I63" s="270"/>
      <c r="J63" s="270"/>
      <c r="K63" s="270"/>
      <c r="L63" s="270"/>
      <c r="M63" s="270"/>
      <c r="N63" s="270"/>
      <c r="S63" s="45"/>
      <c r="T63" s="45"/>
      <c r="U63" s="45"/>
      <c r="V63" s="45"/>
      <c r="W63" s="45"/>
      <c r="X63" s="45"/>
    </row>
    <row r="64" spans="1:37" ht="27" customHeight="1" x14ac:dyDescent="0.35">
      <c r="C64" s="9"/>
      <c r="H64" s="270" t="str">
        <f>IF(AND(J50&gt;=4,H61="                                               03 Articulation 01"),"                                               03 Articulation 04",IF(AND(J50&gt;=4,H61="                                               04 Articulation 01"), "                                               04 Articulation 04", IF(AND(J50&gt;=4,H61="                                               02 Articulation 01"),"                                               02 Articulation 04","")))</f>
        <v/>
      </c>
      <c r="I64" s="270"/>
      <c r="J64" s="270"/>
      <c r="K64" s="270"/>
      <c r="L64" s="270"/>
      <c r="M64" s="270"/>
      <c r="N64" s="270"/>
      <c r="S64" s="45"/>
      <c r="T64" s="45"/>
      <c r="U64" s="45"/>
      <c r="V64" s="45"/>
      <c r="W64" s="45"/>
      <c r="X64" s="45"/>
    </row>
    <row r="65" spans="1:72" ht="27.75" customHeight="1" x14ac:dyDescent="0.35">
      <c r="C65" s="9"/>
      <c r="H65" s="272" t="str">
        <f>IF(B45&lt;&gt;"", "                   Type of File(s):    Adobe Portable Document (.pdf)", "")</f>
        <v xml:space="preserve">                   Type of File(s):    Adobe Portable Document (.pdf)</v>
      </c>
      <c r="I65" s="272"/>
      <c r="J65" s="272"/>
      <c r="K65" s="272"/>
      <c r="L65" s="272"/>
      <c r="M65" s="272"/>
      <c r="N65" s="272"/>
      <c r="S65" s="45"/>
      <c r="T65" s="45"/>
      <c r="U65" s="45"/>
      <c r="V65" s="45"/>
      <c r="W65" s="45"/>
      <c r="X65" s="45"/>
    </row>
    <row r="66" spans="1:72" ht="21" customHeight="1" x14ac:dyDescent="0.35">
      <c r="C66" s="9"/>
      <c r="S66" s="45"/>
      <c r="T66" s="45"/>
      <c r="U66" s="45"/>
      <c r="V66" s="45"/>
      <c r="W66" s="45"/>
      <c r="X66" s="45"/>
    </row>
    <row r="67" spans="1:72" s="28" customFormat="1" ht="26.25" customHeight="1" x14ac:dyDescent="0.35">
      <c r="A67" s="148"/>
      <c r="C67" s="112"/>
      <c r="D67" s="369"/>
      <c r="E67" s="369"/>
      <c r="F67" s="369"/>
      <c r="G67" s="369"/>
      <c r="H67" s="369"/>
      <c r="J67" s="198"/>
      <c r="K67" s="201"/>
      <c r="L67" s="113"/>
      <c r="P67" s="148"/>
      <c r="Q67" s="148"/>
      <c r="R67" s="148"/>
      <c r="S67" s="148"/>
      <c r="T67" s="148"/>
      <c r="U67" s="148"/>
      <c r="V67" s="148"/>
      <c r="W67" s="148"/>
      <c r="X67" s="148"/>
      <c r="Y67" s="148"/>
      <c r="Z67" s="148"/>
      <c r="AA67" s="148"/>
      <c r="AB67" s="148"/>
      <c r="AG67"/>
      <c r="AH67"/>
      <c r="AI67"/>
      <c r="AJ67"/>
      <c r="AK67"/>
    </row>
    <row r="68" spans="1:72" s="28" customFormat="1" ht="21" customHeight="1" x14ac:dyDescent="0.3">
      <c r="A68" s="148"/>
      <c r="C68" s="174"/>
      <c r="E68" s="175"/>
      <c r="F68" s="198"/>
      <c r="G68" s="198"/>
      <c r="H68" s="198"/>
      <c r="I68" s="198"/>
      <c r="J68" s="198"/>
      <c r="L68" s="113"/>
      <c r="S68" s="148"/>
      <c r="T68" s="148"/>
      <c r="U68" s="148"/>
      <c r="V68" s="148"/>
      <c r="W68" s="148"/>
      <c r="X68" s="148"/>
    </row>
    <row r="69" spans="1:72" s="144" customFormat="1" ht="24" customHeight="1" x14ac:dyDescent="0.4">
      <c r="A69" s="207"/>
      <c r="B69" s="266" t="s">
        <v>213</v>
      </c>
      <c r="C69" s="266"/>
      <c r="D69" s="266"/>
      <c r="E69" s="266"/>
      <c r="F69" s="266"/>
      <c r="G69" s="266"/>
      <c r="H69" s="266"/>
      <c r="I69" s="266"/>
      <c r="J69" s="266"/>
      <c r="K69" s="266"/>
      <c r="L69" s="266"/>
      <c r="M69" s="266"/>
      <c r="N69" s="266"/>
      <c r="O69" s="266"/>
      <c r="X69" s="145"/>
      <c r="AB69" s="143"/>
      <c r="AG69" s="28"/>
      <c r="AH69" s="28"/>
      <c r="AI69" s="28"/>
      <c r="AJ69" s="28"/>
      <c r="AK69" s="28"/>
      <c r="AN69" s="145"/>
      <c r="AR69" s="143"/>
      <c r="BA69" s="145"/>
      <c r="BE69" s="143"/>
      <c r="BN69" s="145"/>
      <c r="BT69" s="145"/>
    </row>
    <row r="70" spans="1:72" s="28" customFormat="1" ht="6.75" customHeight="1" x14ac:dyDescent="0.3">
      <c r="A70" s="148"/>
      <c r="C70" s="112"/>
      <c r="E70" s="175"/>
      <c r="F70" s="198"/>
      <c r="G70" s="198"/>
      <c r="H70" s="198"/>
      <c r="I70" s="198"/>
      <c r="J70" s="198"/>
      <c r="K70" s="198"/>
      <c r="L70" s="113"/>
      <c r="P70" s="148"/>
      <c r="Q70" s="148"/>
      <c r="R70" s="113"/>
      <c r="S70" s="102"/>
      <c r="T70" s="113"/>
      <c r="U70" s="113"/>
      <c r="V70" s="113"/>
      <c r="W70" s="113"/>
      <c r="X70" s="113"/>
      <c r="Y70" s="148"/>
      <c r="Z70" s="148"/>
      <c r="AA70" s="148"/>
      <c r="AB70" s="148"/>
      <c r="AG70" s="144"/>
      <c r="AH70" s="144"/>
      <c r="AI70" s="144"/>
      <c r="AJ70" s="144"/>
      <c r="AK70" s="145"/>
    </row>
    <row r="71" spans="1:72" ht="6" customHeight="1" x14ac:dyDescent="0.35">
      <c r="H71" s="19"/>
      <c r="I71" s="19"/>
      <c r="J71" s="19"/>
      <c r="K71" s="18"/>
      <c r="L71" s="18"/>
      <c r="M71" s="18"/>
      <c r="N71" s="18"/>
      <c r="O71" s="18"/>
      <c r="AG71" s="28"/>
      <c r="AH71" s="28"/>
      <c r="AI71" s="28"/>
      <c r="AJ71" s="28"/>
      <c r="AK71" s="28"/>
    </row>
    <row r="73" spans="1:72" ht="89.25" customHeight="1" x14ac:dyDescent="0.35">
      <c r="B73" s="276" t="s">
        <v>47</v>
      </c>
      <c r="C73" s="90"/>
      <c r="D73" s="307" t="s">
        <v>82</v>
      </c>
      <c r="E73" s="307"/>
      <c r="F73" s="307"/>
      <c r="G73" s="307"/>
      <c r="H73" s="307"/>
      <c r="I73" s="307"/>
      <c r="J73" s="307"/>
      <c r="K73" s="307"/>
      <c r="L73" s="307"/>
    </row>
    <row r="74" spans="1:72" x14ac:dyDescent="0.35">
      <c r="B74" s="276"/>
    </row>
    <row r="75" spans="1:72" ht="53.5" customHeight="1" x14ac:dyDescent="0.35">
      <c r="D75" s="321" t="s">
        <v>48</v>
      </c>
      <c r="E75" s="321"/>
      <c r="F75" s="321"/>
      <c r="G75" s="321"/>
      <c r="H75" s="321"/>
      <c r="I75" s="321"/>
      <c r="J75" s="323" t="s">
        <v>49</v>
      </c>
      <c r="K75" s="323"/>
      <c r="L75" s="202"/>
      <c r="M75" s="202"/>
      <c r="N75" s="202"/>
      <c r="O75" s="202"/>
    </row>
    <row r="76" spans="1:72" ht="20.25" customHeight="1" x14ac:dyDescent="0.35">
      <c r="D76" s="324"/>
      <c r="E76" s="325"/>
      <c r="F76" s="325"/>
      <c r="G76" s="325"/>
      <c r="H76" s="325"/>
      <c r="I76" s="326"/>
      <c r="J76" s="327"/>
      <c r="K76" s="328"/>
      <c r="L76" s="55"/>
      <c r="M76" s="55"/>
      <c r="N76" s="55"/>
      <c r="O76" s="202"/>
    </row>
    <row r="79" spans="1:72" ht="65.25" customHeight="1" x14ac:dyDescent="0.35">
      <c r="C79" s="9"/>
      <c r="D79" s="322" t="s">
        <v>106</v>
      </c>
      <c r="E79" s="322"/>
      <c r="F79" s="322"/>
      <c r="G79" s="322"/>
      <c r="H79" s="322"/>
      <c r="I79" s="322"/>
      <c r="J79" s="322"/>
      <c r="K79" s="322"/>
      <c r="L79" s="322"/>
      <c r="M79" s="322"/>
      <c r="N79" s="322"/>
      <c r="O79" s="322"/>
      <c r="S79" s="10" t="s">
        <v>7</v>
      </c>
    </row>
    <row r="80" spans="1:72" ht="29.25" customHeight="1" x14ac:dyDescent="0.45">
      <c r="C80" s="9"/>
      <c r="D80" s="9"/>
      <c r="E80" s="273"/>
      <c r="F80" s="273"/>
      <c r="G80" s="273"/>
      <c r="H80" s="274" t="str">
        <f>IF(AND(A20=1,A21=1,A22=1,A23=1,J50&lt;&gt;""),"                Exact Document Name:       05 Minimum Goal",IF(OR(AND(A20="",A21=1,A22=1,A23=1,J48="Yes",J50&gt;=1),AND(A20="",A21=1,A22=1,A23="",J48="Yes",J50&gt;=1),AND(A20=1,A21=1,A22=1,A23="",J48="No"),AND(A20=1,A21=1,A22="",A23=1)),"                Exact Document Name:       04 Minimum Goal",IF(OR(AND(A20="",A21=1,A22=1,A23="",J48="No"),AND(A20=1,A21=1,A22="",A23="",J48="No"),AND(A20="",A21=1,A22="",A23=1,J48="Yes")),"                Exact Document Name:       03 Minimum Goal",IF(AND(D10&lt;&gt;"",A20="",A21=1,A23=""),"                Exact Document Name:       02 Minimum Goal","                Exact Document Name:       Minimum Goal"))))</f>
        <v xml:space="preserve">                Exact Document Name:       Minimum Goal</v>
      </c>
      <c r="I80" s="274"/>
      <c r="J80" s="274"/>
      <c r="K80" s="274"/>
      <c r="L80" s="274"/>
      <c r="M80" s="274"/>
      <c r="N80" s="274"/>
      <c r="S80" s="10" t="s">
        <v>50</v>
      </c>
    </row>
    <row r="81" spans="2:19" ht="27.75" customHeight="1" x14ac:dyDescent="0.35">
      <c r="C81" s="9"/>
      <c r="H81" s="354" t="s">
        <v>51</v>
      </c>
      <c r="I81" s="354"/>
      <c r="J81" s="354"/>
      <c r="K81" s="354"/>
      <c r="L81" s="354"/>
      <c r="M81" s="354"/>
      <c r="N81" s="354"/>
      <c r="S81" s="10" t="s">
        <v>50</v>
      </c>
    </row>
    <row r="83" spans="2:19" ht="43.5" customHeight="1" x14ac:dyDescent="0.35">
      <c r="B83" s="16"/>
      <c r="D83" s="17"/>
      <c r="E83" s="17"/>
      <c r="F83" s="17"/>
      <c r="G83" s="17"/>
      <c r="H83" s="17"/>
      <c r="I83" s="17"/>
      <c r="J83" s="17"/>
    </row>
    <row r="84" spans="2:19" ht="21" customHeight="1" x14ac:dyDescent="0.35">
      <c r="C84" s="27"/>
      <c r="D84" s="106"/>
      <c r="E84" s="106"/>
      <c r="F84" s="106"/>
      <c r="G84" s="106"/>
      <c r="H84" s="106"/>
      <c r="I84" s="106"/>
      <c r="K84" s="74" t="str">
        <f>IF('Program Info'!G53="", " &lt;=== Select from drop down list","")</f>
        <v xml:space="preserve"> &lt;=== Select from drop down list</v>
      </c>
      <c r="L84" s="17"/>
    </row>
    <row r="85" spans="2:19" ht="12.75" customHeight="1" x14ac:dyDescent="0.35">
      <c r="D85" s="286" t="str">
        <f>'Program Info'!C53</f>
        <v>Is there currently an AEMT cohort in progress?</v>
      </c>
      <c r="E85" s="286"/>
      <c r="F85" s="286"/>
      <c r="G85" s="286"/>
      <c r="H85" s="286"/>
      <c r="I85" s="286"/>
      <c r="J85" s="287">
        <f>'Program Info'!G53</f>
        <v>0</v>
      </c>
      <c r="K85" s="289" t="s">
        <v>216</v>
      </c>
      <c r="L85" s="290"/>
      <c r="M85" s="290"/>
      <c r="N85" s="290"/>
      <c r="O85" s="290"/>
    </row>
    <row r="86" spans="2:19" ht="10.5" customHeight="1" x14ac:dyDescent="0.35">
      <c r="C86" s="13"/>
      <c r="D86" s="286"/>
      <c r="E86" s="286"/>
      <c r="F86" s="286"/>
      <c r="G86" s="286"/>
      <c r="H86" s="286"/>
      <c r="I86" s="286"/>
      <c r="J86" s="288"/>
      <c r="K86" s="289"/>
      <c r="L86" s="290"/>
      <c r="M86" s="290"/>
      <c r="N86" s="290"/>
      <c r="O86" s="290"/>
    </row>
    <row r="87" spans="2:19" ht="8.25" customHeight="1" x14ac:dyDescent="0.35">
      <c r="D87" s="286" t="str">
        <f>'Program Info'!C62</f>
        <v>Will there be a single Advisory Committee for AEMT and Paramedic?</v>
      </c>
      <c r="E87" s="286"/>
      <c r="F87" s="286"/>
      <c r="G87" s="286"/>
      <c r="H87" s="286"/>
      <c r="I87" s="286"/>
      <c r="J87" s="287">
        <f>'Program Info'!G62</f>
        <v>0</v>
      </c>
      <c r="K87" s="289"/>
      <c r="L87" s="290"/>
      <c r="M87" s="290"/>
      <c r="N87" s="290"/>
      <c r="O87" s="290"/>
    </row>
    <row r="88" spans="2:19" ht="12" customHeight="1" x14ac:dyDescent="0.35">
      <c r="C88" s="13"/>
      <c r="D88" s="286"/>
      <c r="E88" s="286"/>
      <c r="F88" s="286"/>
      <c r="G88" s="286"/>
      <c r="H88" s="286"/>
      <c r="I88" s="286"/>
      <c r="J88" s="288"/>
      <c r="K88" s="289"/>
      <c r="L88" s="290"/>
      <c r="M88" s="290"/>
      <c r="N88" s="290"/>
      <c r="O88" s="290"/>
    </row>
    <row r="89" spans="2:19" ht="71.25" customHeight="1" x14ac:dyDescent="0.35">
      <c r="C89" s="27"/>
      <c r="D89" s="371" t="str">
        <f>IF(OR(AND('Program Info'!G53="Yes",'Program Info'!G62="No"),AND('Program Info'!G53="No",'Program Info'!G62="No")),"List the current individuals and the communities of interest that they represent on the Program Advisory Committee (must include at least one representative from each required group). "&amp;" The program may have additional members from any of the communities of interest.",IF(AND('Program Info'!G53="Yes",'Program Info'!G62="Yes"),"List the current individuals for the AEMT Student and Graduate on the Program Advisory Committee (must include at least one representative from each required group). "&amp;" The program may have additional members for each community of interest.",IF(AND('Program Info'!G53="No",'Program Info'!G62="Yes"),"At least one AEMT student representative must be included on the Advisory Committee once the AEMT program starts the first cohort "&amp;"and at least one AEMT graduate representative must be included on the Advisory Committee once the AEMT program completes the first cohort.", "")))</f>
        <v/>
      </c>
      <c r="E89" s="371"/>
      <c r="F89" s="371"/>
      <c r="G89" s="371"/>
      <c r="H89" s="371"/>
      <c r="I89" s="371"/>
      <c r="J89" s="371"/>
      <c r="K89" s="371"/>
      <c r="L89" s="371"/>
    </row>
    <row r="90" spans="2:19" ht="29.25" customHeight="1" x14ac:dyDescent="0.35">
      <c r="B90" s="276" t="s">
        <v>52</v>
      </c>
      <c r="D90" s="372" t="str">
        <f>IF(OR(AND('Program Info'!G53="Yes",'Program Info'!G62="No"),AND('Program Info'!G53="Yes",'Program Info'!G62="Yes"),AND('Program Info'!G53="No",'Program Info'!G62="No")),"AEMT Advisory Committee (AC)","")</f>
        <v/>
      </c>
      <c r="E90" s="372"/>
      <c r="F90" s="372"/>
      <c r="G90" s="372"/>
      <c r="H90" s="372"/>
      <c r="I90" s="372"/>
      <c r="J90" s="372"/>
      <c r="K90" s="372"/>
      <c r="L90" s="372"/>
      <c r="M90" s="372"/>
      <c r="N90" s="372"/>
      <c r="O90" s="372"/>
    </row>
    <row r="91" spans="2:19" ht="59.25" customHeight="1" x14ac:dyDescent="0.35">
      <c r="B91" s="276"/>
      <c r="D91" s="275" t="str">
        <f>IF(OR(AND('Program Info'!G53="Yes",'Program Info'!G62="No"),AND('Program Info'!G53="Yes",'Program Info'!G62="Yes"),AND('Program Info'!G53="No",'Program Info'!G62="No")),"Community of Interest (CoI)","")</f>
        <v/>
      </c>
      <c r="E91" s="275"/>
      <c r="F91" s="275"/>
      <c r="G91" s="275" t="str">
        <f>IF(OR(AND('Program Info'!G53="Yes",'Program Info'!G62="No"),AND('Program Info'!G53="Yes",'Program Info'!G62="Yes"),AND('Program Info'!G53="No",'Program Info'!G62="No")),"Name and Credentials of the Individual(s) 
Representing the Communities of Interest
(Multiple members may be listed in a single category)","")</f>
        <v/>
      </c>
      <c r="H91" s="275"/>
      <c r="I91" s="275"/>
      <c r="J91" s="275"/>
      <c r="K91" s="275"/>
      <c r="L91" s="350" t="str">
        <f>IF(OR(AND('Program Info'!G53="Yes",'Program Info'!G62="No"),AND('Program Info'!G53="Yes",'Program Info'!G62="Yes"),AND('Program Info'!G53="No",'Program Info'!G62="No")),"Employer","")</f>
        <v/>
      </c>
      <c r="M91" s="350"/>
      <c r="N91" s="350"/>
      <c r="O91" s="350"/>
    </row>
    <row r="92" spans="2:19" ht="24.75" customHeight="1" x14ac:dyDescent="0.35">
      <c r="D92" s="389" t="str">
        <f>IF(OR(AND('Program Info'!G53="Yes",'Program Info'!G62="No"),AND('Program Info'!G53="Yes",'Program Info'!G62="Yes"),AND('Program Info'!G53="No",'Program Info'!G62="No")),"NOTE: The Advisory Committee should have significant representation and input from non-program personnel.","")</f>
        <v/>
      </c>
      <c r="E92" s="389"/>
      <c r="F92" s="389"/>
      <c r="G92" s="389"/>
      <c r="H92" s="389"/>
      <c r="I92" s="389"/>
      <c r="J92" s="389"/>
      <c r="K92" s="389"/>
      <c r="L92" s="389"/>
      <c r="M92" s="389"/>
      <c r="N92" s="389"/>
      <c r="O92" s="389"/>
    </row>
    <row r="93" spans="2:19" ht="27" customHeight="1" x14ac:dyDescent="0.35">
      <c r="D93" s="299" t="str">
        <f>IF(OR(AND('Program Info'!G53="Yes",'Program Info'!G62="No"),AND('Program Info'!G53="No",'Program Info'!G62="No")),"Program Director
  ex officio, non-voting member",IF(AND('Program Info'!G53="Yes",'Program Info'!G62="Yes"),"AEMT Student",""))</f>
        <v/>
      </c>
      <c r="E93" s="299"/>
      <c r="F93" s="299"/>
      <c r="G93" s="277"/>
      <c r="H93" s="277"/>
      <c r="I93" s="277"/>
      <c r="J93" s="277"/>
      <c r="K93" s="277"/>
      <c r="L93" s="277"/>
      <c r="M93" s="277"/>
      <c r="N93" s="277"/>
      <c r="O93" s="277"/>
    </row>
    <row r="94" spans="2:19" ht="27" customHeight="1" x14ac:dyDescent="0.35">
      <c r="D94" s="299" t="str">
        <f>IF(OR(AND('Program Info'!G53="Yes",'Program Info'!G62="No"),AND('Program Info'!G53="No",'Program Info'!G62="No")),"Medical Director
  ex officio, non-voting member",IF(AND('Program Info'!G53="Yes",'Program Info'!G62="Yes"),"AEMT Graduate",""))</f>
        <v/>
      </c>
      <c r="E94" s="299"/>
      <c r="F94" s="299"/>
      <c r="G94" s="277"/>
      <c r="H94" s="277"/>
      <c r="I94" s="277"/>
      <c r="J94" s="277"/>
      <c r="K94" s="277"/>
      <c r="L94" s="277"/>
      <c r="M94" s="277"/>
      <c r="N94" s="277"/>
      <c r="O94" s="277"/>
    </row>
    <row r="95" spans="2:19" ht="27" customHeight="1" x14ac:dyDescent="0.35">
      <c r="D95" s="299" t="str">
        <f>IF(OR(AND('Program Info'!G53="Yes",'Program Info'!G62="No"),AND('Program Info'!G53="No",'Program Info'!G62="No")),"Physician(s)
  may be fulfilled by Medical Director","")</f>
        <v/>
      </c>
      <c r="E95" s="299"/>
      <c r="F95" s="299"/>
      <c r="G95" s="277"/>
      <c r="H95" s="277"/>
      <c r="I95" s="277"/>
      <c r="J95" s="277"/>
      <c r="K95" s="277"/>
      <c r="L95" s="277"/>
      <c r="M95" s="277"/>
      <c r="N95" s="277"/>
      <c r="O95" s="277"/>
    </row>
    <row r="96" spans="2:19" ht="27" customHeight="1" x14ac:dyDescent="0.35">
      <c r="D96" s="299" t="str">
        <f>IF(OR(AND('Program Info'!G53="Yes",'Program Info'!G62="No"),AND('Program Info'!G53="No",'Program Info'!G62="No")),"Sponsor Administrators
  ex officio, non-voting member","")</f>
        <v/>
      </c>
      <c r="E96" s="299"/>
      <c r="F96" s="299"/>
      <c r="G96" s="277"/>
      <c r="H96" s="277"/>
      <c r="I96" s="277"/>
      <c r="J96" s="277"/>
      <c r="K96" s="277"/>
      <c r="L96" s="277"/>
      <c r="M96" s="277"/>
      <c r="N96" s="277"/>
      <c r="O96" s="277"/>
    </row>
    <row r="97" spans="1:72" ht="27" customHeight="1" x14ac:dyDescent="0.35">
      <c r="D97" s="299" t="str">
        <f>IF(OR(AND('Program Info'!G53="Yes",'Program Info'!G62="No"),AND('Program Info'!G53="No",'Program Info'!G62="No")),"Faculty Members
  ex officio, non-voting member","")</f>
        <v/>
      </c>
      <c r="E97" s="299"/>
      <c r="F97" s="299"/>
      <c r="G97" s="277"/>
      <c r="H97" s="277"/>
      <c r="I97" s="277"/>
      <c r="J97" s="277"/>
      <c r="K97" s="277"/>
      <c r="L97" s="277"/>
      <c r="M97" s="277"/>
      <c r="N97" s="277"/>
      <c r="O97" s="277"/>
    </row>
    <row r="98" spans="1:72" ht="34.5" customHeight="1" x14ac:dyDescent="0.35">
      <c r="D98" s="390" t="str">
        <f>IF(OR(AND('Program Info'!G53="Yes",'Program Info'!G62="No"),AND('Program Info'!G53="No",'Program Info'!G62="No")),"Clinical &amp; Capstone Field Internship  Representative(s)","")</f>
        <v/>
      </c>
      <c r="E98" s="390"/>
      <c r="F98" s="390"/>
      <c r="G98" s="277"/>
      <c r="H98" s="277"/>
      <c r="I98" s="277"/>
      <c r="J98" s="277"/>
      <c r="K98" s="277"/>
      <c r="L98" s="277"/>
      <c r="M98" s="277"/>
      <c r="N98" s="277"/>
      <c r="O98" s="277"/>
    </row>
    <row r="99" spans="1:72" ht="27" customHeight="1" x14ac:dyDescent="0.35">
      <c r="D99" s="299" t="str">
        <f>IF(OR(AND('Program Info'!G53="Yes",'Program Info'!G62="No"),AND('Program Info'!G53="No",'Program Info'!G62="No")),"Employer(s) of Graduates Representative","")</f>
        <v/>
      </c>
      <c r="E99" s="299"/>
      <c r="F99" s="299"/>
      <c r="G99" s="277"/>
      <c r="H99" s="277"/>
      <c r="I99" s="277"/>
      <c r="J99" s="277"/>
      <c r="K99" s="277"/>
      <c r="L99" s="277"/>
      <c r="M99" s="277"/>
      <c r="N99" s="277"/>
      <c r="O99" s="277"/>
    </row>
    <row r="100" spans="1:72" ht="27" customHeight="1" x14ac:dyDescent="0.35">
      <c r="D100" s="319" t="str">
        <f>IF(OR(AND('Program Info'!G53="Yes",'Program Info'!G62="No"),AND('Program Info'!G53="No",'Program Info'!G62="No")),"Public Member(s)","")</f>
        <v/>
      </c>
      <c r="E100" s="319"/>
      <c r="F100" s="319"/>
      <c r="G100" s="277"/>
      <c r="H100" s="277"/>
      <c r="I100" s="277"/>
      <c r="J100" s="277"/>
      <c r="K100" s="277"/>
      <c r="L100" s="277"/>
      <c r="M100" s="277"/>
      <c r="N100" s="277"/>
      <c r="O100" s="277"/>
    </row>
    <row r="101" spans="1:72" ht="27" customHeight="1" x14ac:dyDescent="0.35">
      <c r="D101" s="299" t="str">
        <f>IF(OR(AND('Program Info'!G53="Yes",'Program Info'!G62="No"),AND('Program Info'!G53="No",'Program Info'!G62="No")),"Other","")</f>
        <v/>
      </c>
      <c r="E101" s="299"/>
      <c r="F101" s="299"/>
      <c r="G101" s="277"/>
      <c r="H101" s="277"/>
      <c r="I101" s="277"/>
      <c r="J101" s="277"/>
      <c r="K101" s="277"/>
      <c r="L101" s="277"/>
      <c r="M101" s="277"/>
      <c r="N101" s="277"/>
      <c r="O101" s="277"/>
    </row>
    <row r="102" spans="1:72" ht="27" customHeight="1" x14ac:dyDescent="0.35">
      <c r="D102" s="299" t="str">
        <f>IF(OR(AND('Program Info'!G53="Yes",'Program Info'!G62="No"),AND('Program Info'!G53="No",'Program Info'!G62="No")),"Paramedic Student","")</f>
        <v/>
      </c>
      <c r="E102" s="299"/>
      <c r="F102" s="299"/>
      <c r="G102" s="277"/>
      <c r="H102" s="277"/>
      <c r="I102" s="277"/>
      <c r="J102" s="277"/>
      <c r="K102" s="277"/>
      <c r="L102" s="277"/>
      <c r="M102" s="277"/>
      <c r="N102" s="277"/>
      <c r="O102" s="277"/>
    </row>
    <row r="103" spans="1:72" ht="27" customHeight="1" x14ac:dyDescent="0.35">
      <c r="D103" s="299" t="str">
        <f>IF(OR(AND('Program Info'!G53="Yes",'Program Info'!G62="No"),AND('Program Info'!G53="No",'Program Info'!G62="No")),"Paramedic Graduate","")</f>
        <v/>
      </c>
      <c r="E103" s="299"/>
      <c r="F103" s="299"/>
      <c r="G103" s="277"/>
      <c r="H103" s="277"/>
      <c r="I103" s="277"/>
      <c r="J103" s="277"/>
      <c r="K103" s="277"/>
      <c r="L103" s="277"/>
      <c r="M103" s="277"/>
      <c r="N103" s="277"/>
      <c r="O103" s="277"/>
      <c r="R103" s="45"/>
    </row>
    <row r="104" spans="1:72" ht="40.5" customHeight="1" x14ac:dyDescent="0.35">
      <c r="D104" s="299" t="str">
        <f>IF(AND('Program Info'!G53="Yes",'Program Info'!G62="No"),"AEMT Student",IF(AND('Program Info'!G53="No",'Program Info'!G62="No"),"AEMT Student 
*required upon start of first AEMT cohort",""))</f>
        <v/>
      </c>
      <c r="E104" s="299"/>
      <c r="F104" s="299"/>
      <c r="G104" s="277"/>
      <c r="H104" s="277"/>
      <c r="I104" s="277"/>
      <c r="J104" s="277"/>
      <c r="K104" s="277"/>
      <c r="L104" s="277"/>
      <c r="M104" s="277"/>
      <c r="N104" s="277"/>
      <c r="O104" s="277"/>
    </row>
    <row r="105" spans="1:72" ht="46.5" customHeight="1" x14ac:dyDescent="0.35">
      <c r="D105" s="299" t="str">
        <f>IF(AND('Program Info'!G53="Yes",'Program Info'!G62="No"),"AEMT Graduate",IF(AND('Program Info'!G53="No",'Program Info'!G62="No"),"AEMT Graduate  
*required upon completion of first AEMT cohort",""))</f>
        <v/>
      </c>
      <c r="E105" s="299"/>
      <c r="F105" s="299"/>
      <c r="G105" s="277"/>
      <c r="H105" s="277"/>
      <c r="I105" s="277"/>
      <c r="J105" s="277"/>
      <c r="K105" s="277"/>
      <c r="L105" s="277"/>
      <c r="M105" s="277"/>
      <c r="N105" s="277"/>
      <c r="O105" s="277"/>
      <c r="R105" s="45"/>
    </row>
    <row r="106" spans="1:72" ht="21.65" customHeight="1" x14ac:dyDescent="0.35">
      <c r="H106" s="19"/>
      <c r="I106" s="19"/>
      <c r="J106" s="19"/>
      <c r="K106" s="18"/>
      <c r="L106" s="18"/>
      <c r="M106" s="18"/>
      <c r="N106" s="18"/>
      <c r="O106" s="18"/>
    </row>
    <row r="107" spans="1:72" ht="30.75" customHeight="1" x14ac:dyDescent="0.35">
      <c r="H107" s="19"/>
      <c r="I107" s="19"/>
      <c r="J107" s="19"/>
      <c r="K107" s="18"/>
      <c r="L107" s="18"/>
      <c r="M107" s="18"/>
      <c r="N107" s="18"/>
      <c r="O107" s="18"/>
    </row>
    <row r="108" spans="1:72" ht="27" customHeight="1" x14ac:dyDescent="0.35">
      <c r="H108" s="19"/>
      <c r="I108" s="19"/>
      <c r="J108" s="19"/>
      <c r="K108" s="18"/>
      <c r="L108" s="18"/>
      <c r="M108" s="18"/>
      <c r="N108" s="18"/>
      <c r="O108" s="18"/>
    </row>
    <row r="109" spans="1:72" s="144" customFormat="1" ht="24" customHeight="1" x14ac:dyDescent="0.4">
      <c r="A109" s="207"/>
      <c r="B109" s="266" t="s">
        <v>214</v>
      </c>
      <c r="C109" s="266"/>
      <c r="D109" s="266"/>
      <c r="E109" s="266"/>
      <c r="F109" s="266"/>
      <c r="G109" s="266"/>
      <c r="H109" s="266"/>
      <c r="I109" s="266"/>
      <c r="J109" s="266"/>
      <c r="K109" s="266"/>
      <c r="L109" s="266"/>
      <c r="M109" s="266"/>
      <c r="N109" s="266"/>
      <c r="O109" s="266"/>
      <c r="X109" s="145"/>
      <c r="AB109" s="143"/>
      <c r="AG109"/>
      <c r="AH109"/>
      <c r="AI109"/>
      <c r="AJ109"/>
      <c r="AK109"/>
      <c r="AN109" s="145"/>
      <c r="AR109" s="143"/>
      <c r="BA109" s="145"/>
      <c r="BE109" s="143"/>
      <c r="BN109" s="145"/>
      <c r="BT109" s="145"/>
    </row>
    <row r="110" spans="1:72" ht="10.5" customHeight="1" x14ac:dyDescent="0.35">
      <c r="I110" s="12"/>
      <c r="J110" s="12"/>
      <c r="K110" s="12"/>
      <c r="L110" s="12"/>
      <c r="M110" s="12"/>
      <c r="N110" s="12"/>
      <c r="O110" s="12"/>
      <c r="P110" s="12"/>
      <c r="Q110" s="12"/>
      <c r="R110" s="12"/>
      <c r="AG110" s="144"/>
      <c r="AH110" s="144"/>
      <c r="AI110" s="144"/>
      <c r="AJ110" s="144"/>
      <c r="AK110" s="145"/>
    </row>
    <row r="111" spans="1:72" ht="31.5" customHeight="1" x14ac:dyDescent="0.35">
      <c r="O111" s="309" t="s">
        <v>89</v>
      </c>
      <c r="P111" s="309"/>
      <c r="Q111" s="309"/>
      <c r="R111" s="298" t="s">
        <v>91</v>
      </c>
      <c r="S111" s="298"/>
      <c r="T111" s="298"/>
      <c r="U111" s="298"/>
      <c r="V111" s="298"/>
    </row>
    <row r="112" spans="1:72" ht="15.75" customHeight="1" x14ac:dyDescent="0.35">
      <c r="D112" s="286" t="str">
        <f>'Program Info'!C56</f>
        <v>What is the anticipated cohort on-time graduation date? (mm/dd/yyyy)</v>
      </c>
      <c r="E112" s="286"/>
      <c r="F112" s="286"/>
      <c r="G112" s="286"/>
      <c r="H112" s="286"/>
      <c r="I112" s="286"/>
      <c r="J112" s="291" t="str">
        <f>IF('Program Info'!G56&lt;&gt;"",'Program Info'!G56,"")</f>
        <v/>
      </c>
      <c r="K112" s="292" t="s">
        <v>210</v>
      </c>
      <c r="L112" s="293"/>
      <c r="M112" s="293"/>
      <c r="N112" s="293"/>
      <c r="O112" s="293"/>
    </row>
    <row r="113" spans="2:30" ht="12" customHeight="1" x14ac:dyDescent="0.35">
      <c r="C113" s="13"/>
      <c r="D113" s="286"/>
      <c r="E113" s="286"/>
      <c r="F113" s="286"/>
      <c r="G113" s="286"/>
      <c r="H113" s="286"/>
      <c r="I113" s="286"/>
      <c r="J113" s="288"/>
      <c r="K113" s="292"/>
      <c r="L113" s="293"/>
      <c r="M113" s="293"/>
      <c r="N113" s="293"/>
      <c r="O113" s="293"/>
    </row>
    <row r="114" spans="2:30" ht="141" customHeight="1" x14ac:dyDescent="0.35">
      <c r="B114" s="192" t="s">
        <v>53</v>
      </c>
      <c r="C114" s="30"/>
      <c r="D114" s="307" t="s">
        <v>98</v>
      </c>
      <c r="E114" s="307"/>
      <c r="F114" s="307"/>
      <c r="G114" s="307"/>
      <c r="H114" s="307"/>
      <c r="I114" s="307"/>
      <c r="J114" s="307"/>
      <c r="K114" s="307"/>
      <c r="L114" s="307"/>
      <c r="M114" s="12"/>
      <c r="N114" s="12"/>
      <c r="O114" s="109" t="s">
        <v>0</v>
      </c>
      <c r="P114" s="109"/>
      <c r="Q114" s="109"/>
      <c r="R114" s="12"/>
    </row>
    <row r="115" spans="2:30" ht="39.75" customHeight="1" x14ac:dyDescent="0.35">
      <c r="B115" s="16"/>
      <c r="D115" s="318" t="s">
        <v>54</v>
      </c>
      <c r="E115" s="318"/>
      <c r="F115" s="318"/>
      <c r="G115" s="318"/>
      <c r="H115" s="318"/>
      <c r="I115" s="318"/>
      <c r="J115" s="318"/>
      <c r="Q115" s="12"/>
    </row>
    <row r="116" spans="2:30" ht="72" customHeight="1" x14ac:dyDescent="0.35">
      <c r="B116" s="276" t="s">
        <v>55</v>
      </c>
      <c r="D116" s="297" t="s">
        <v>4</v>
      </c>
      <c r="E116" s="238" t="str">
        <f>IF('Program Info'!G53="Yes","By selecting 'Yes', I acknowledge the resource assessment process for the AEMT program will begin with the current cohort scheduled to graduate on "&amp;TEXT('Program Info'!G56,"MM/DD/YYYY")&amp;" and must be distinctly separate for the AEMT and Paramedic program.  "&amp;"I will use the CoAEMSP resource assessment tools to collect information from at least students, faculty, program Medical Director(s), and program Advisory Committee members at least annually.
"&amp;"The results of resource assessment must be analyzed and are the basis for ongoing planning and appropriate change. "&amp;"An action plan must be developed when deficiencies are identified in the program resources. Implementation of the action plan must be documented, and results measured by ongoing resource assessment.","By selecting 'Yes', I acknowledge the resource assessment process must be distinctly separate for the AEMT and Paramedic program and "&amp;"I will use the CoAEMSP resource assessment tools to collect information from at least students, faculty, program Medical Director(s), and program Advisory Committee members at least annually."&amp;" 
The results of resource assessment must be analyzed and are the basis for ongoing planning and appropriate change. "&amp;"An action plan must be developed when deficiencies are identified in the program resources. Implementation of the action plan must be documented, and results measured by ongoing resource assessment.")</f>
        <v>By selecting 'Yes', I acknowledge the resource assessment process must be distinctly separate for the AEMT and Paramedic program and I will use the CoAEMSP resource assessment tools to collect information from at least students, faculty, program Medical Director(s), and program Advisory Committee members at least annually. 
The results of resource assessment must be analyzed and are the basis for ongoing planning and appropriate change. An action plan must be developed when deficiencies are identified in the program resources. Implementation of the action plan must be documented, and results measured by ongoing resource assessment.</v>
      </c>
      <c r="F116" s="238"/>
      <c r="G116" s="238"/>
      <c r="H116" s="238"/>
      <c r="I116" s="238"/>
      <c r="J116" s="238"/>
      <c r="K116" s="238"/>
      <c r="L116" s="238"/>
      <c r="M116" s="238"/>
      <c r="N116" s="238"/>
      <c r="O116" s="12"/>
      <c r="R116" s="23"/>
      <c r="T116" s="92"/>
      <c r="U116" s="203"/>
      <c r="V116" s="203"/>
      <c r="W116" s="203"/>
      <c r="X116" s="12"/>
      <c r="Y116" s="12"/>
      <c r="Z116" s="12"/>
      <c r="AA116" s="12"/>
      <c r="AB116" s="12"/>
      <c r="AC116" s="12"/>
      <c r="AD116" s="12"/>
    </row>
    <row r="117" spans="2:30" ht="47.25" customHeight="1" x14ac:dyDescent="0.35">
      <c r="B117" s="276"/>
      <c r="D117" s="297"/>
      <c r="E117" s="238"/>
      <c r="F117" s="238"/>
      <c r="G117" s="238"/>
      <c r="H117" s="238"/>
      <c r="I117" s="238"/>
      <c r="J117" s="238"/>
      <c r="K117" s="238"/>
      <c r="L117" s="238"/>
      <c r="M117" s="238"/>
      <c r="N117" s="238"/>
      <c r="O117" s="12"/>
      <c r="T117" s="203"/>
      <c r="U117" s="203"/>
      <c r="V117" s="203"/>
      <c r="W117" s="203"/>
      <c r="X117" s="12"/>
      <c r="Y117" s="12"/>
      <c r="Z117" s="12"/>
      <c r="AA117" s="12"/>
      <c r="AB117" s="12"/>
      <c r="AC117" s="12"/>
      <c r="AD117" s="12"/>
    </row>
    <row r="118" spans="2:30" ht="49" customHeight="1" x14ac:dyDescent="0.35">
      <c r="B118" s="276"/>
      <c r="D118" s="297"/>
      <c r="E118" s="238"/>
      <c r="F118" s="238"/>
      <c r="G118" s="238"/>
      <c r="H118" s="238"/>
      <c r="I118" s="238"/>
      <c r="J118" s="238"/>
      <c r="K118" s="238"/>
      <c r="L118" s="238"/>
      <c r="M118" s="238"/>
      <c r="N118" s="238"/>
      <c r="O118" s="12"/>
      <c r="P118" s="12"/>
      <c r="Q118" s="12"/>
      <c r="R118" s="12"/>
    </row>
    <row r="119" spans="2:30" ht="101.25" customHeight="1" x14ac:dyDescent="0.35">
      <c r="B119" s="192" t="s">
        <v>56</v>
      </c>
      <c r="C119" s="9"/>
      <c r="D119" s="141"/>
      <c r="E119" s="141"/>
      <c r="F119" s="141"/>
      <c r="G119" s="141"/>
      <c r="H119" s="141"/>
      <c r="I119" s="141"/>
      <c r="J119" s="141"/>
      <c r="K119" s="141"/>
      <c r="L119" s="141"/>
      <c r="M119" s="141"/>
      <c r="N119" s="141"/>
    </row>
    <row r="120" spans="2:30" x14ac:dyDescent="0.35">
      <c r="I120" s="12"/>
      <c r="J120" s="12"/>
      <c r="K120" s="12"/>
      <c r="L120" s="12"/>
      <c r="M120" s="12"/>
      <c r="N120" s="12"/>
      <c r="O120" s="12"/>
      <c r="P120" s="12"/>
      <c r="Q120" s="12"/>
      <c r="R120" s="12"/>
    </row>
    <row r="121" spans="2:30" x14ac:dyDescent="0.35">
      <c r="I121" s="12"/>
      <c r="J121" s="12"/>
      <c r="K121" s="12"/>
      <c r="L121" s="12"/>
      <c r="M121" s="12"/>
      <c r="N121" s="12"/>
      <c r="O121" s="12"/>
      <c r="P121" s="12"/>
      <c r="Q121" s="12"/>
      <c r="R121" s="12"/>
    </row>
    <row r="122" spans="2:30" ht="26.25" customHeight="1" x14ac:dyDescent="0.35">
      <c r="C122" s="13"/>
    </row>
    <row r="123" spans="2:30" ht="12.75" customHeight="1" x14ac:dyDescent="0.35">
      <c r="D123" s="286" t="str">
        <f>'Program Info'!C63</f>
        <v>Is the Program Director the same person for AEMT and Paramedic?</v>
      </c>
      <c r="E123" s="286"/>
      <c r="F123" s="286"/>
      <c r="G123" s="286"/>
      <c r="H123" s="286"/>
      <c r="I123" s="286"/>
      <c r="J123" s="287">
        <f>'Program Info'!G63</f>
        <v>0</v>
      </c>
      <c r="K123" s="289" t="s">
        <v>217</v>
      </c>
      <c r="L123" s="290"/>
      <c r="M123" s="290"/>
      <c r="N123" s="290"/>
      <c r="O123" s="290"/>
    </row>
    <row r="124" spans="2:30" ht="7.5" customHeight="1" x14ac:dyDescent="0.35">
      <c r="C124" s="13"/>
      <c r="D124" s="286"/>
      <c r="E124" s="286"/>
      <c r="F124" s="286"/>
      <c r="G124" s="286"/>
      <c r="H124" s="286"/>
      <c r="I124" s="286"/>
      <c r="J124" s="288"/>
      <c r="K124" s="289"/>
      <c r="L124" s="290"/>
      <c r="M124" s="290"/>
      <c r="N124" s="290"/>
      <c r="O124" s="290"/>
    </row>
    <row r="125" spans="2:30" ht="11.25" customHeight="1" x14ac:dyDescent="0.35">
      <c r="D125" s="286" t="str">
        <f>'Program Info'!C64</f>
        <v>Is the Medical Director the same person for AEMT and Paramedic?</v>
      </c>
      <c r="E125" s="286"/>
      <c r="F125" s="286"/>
      <c r="G125" s="286"/>
      <c r="H125" s="286"/>
      <c r="I125" s="286"/>
      <c r="J125" s="287">
        <f>'Program Info'!G64</f>
        <v>0</v>
      </c>
      <c r="K125" s="289"/>
      <c r="L125" s="290"/>
      <c r="M125" s="290"/>
      <c r="N125" s="290"/>
      <c r="O125" s="290"/>
    </row>
    <row r="126" spans="2:30" ht="6.75" customHeight="1" x14ac:dyDescent="0.35">
      <c r="C126" s="13"/>
      <c r="D126" s="286"/>
      <c r="E126" s="286"/>
      <c r="F126" s="286"/>
      <c r="G126" s="286"/>
      <c r="H126" s="286"/>
      <c r="I126" s="286"/>
      <c r="J126" s="288"/>
      <c r="K126" s="289"/>
      <c r="L126" s="290"/>
      <c r="M126" s="290"/>
      <c r="N126" s="290"/>
      <c r="O126" s="290"/>
    </row>
    <row r="127" spans="2:30" ht="10.5" customHeight="1" x14ac:dyDescent="0.35">
      <c r="D127" s="286" t="str">
        <f>'Program Info'!C65</f>
        <v>Are any of the instructional faculty the same for AEMT and Paramedic?</v>
      </c>
      <c r="E127" s="286"/>
      <c r="F127" s="286"/>
      <c r="G127" s="286"/>
      <c r="H127" s="286"/>
      <c r="I127" s="286"/>
      <c r="J127" s="287">
        <f>'Program Info'!G65</f>
        <v>0</v>
      </c>
      <c r="K127" s="289"/>
      <c r="L127" s="290"/>
      <c r="M127" s="290"/>
      <c r="N127" s="290"/>
      <c r="O127" s="290"/>
    </row>
    <row r="128" spans="2:30" ht="12" customHeight="1" x14ac:dyDescent="0.35">
      <c r="C128" s="13"/>
      <c r="D128" s="286"/>
      <c r="E128" s="286"/>
      <c r="F128" s="286"/>
      <c r="G128" s="286"/>
      <c r="H128" s="286"/>
      <c r="I128" s="286"/>
      <c r="J128" s="288"/>
      <c r="K128" s="289"/>
      <c r="L128" s="290"/>
      <c r="M128" s="290"/>
      <c r="N128" s="290"/>
      <c r="O128" s="290"/>
    </row>
    <row r="129" spans="1:37" s="28" customFormat="1" ht="48.75" customHeight="1" x14ac:dyDescent="0.35">
      <c r="A129" s="148"/>
      <c r="O129" s="296"/>
      <c r="P129" s="296"/>
      <c r="Q129" s="296"/>
      <c r="AG129"/>
      <c r="AH129"/>
      <c r="AI129"/>
      <c r="AJ129"/>
      <c r="AK129"/>
    </row>
    <row r="130" spans="1:37" s="28" customFormat="1" ht="138.75" customHeight="1" x14ac:dyDescent="0.3">
      <c r="A130" s="148"/>
      <c r="C130" s="115"/>
      <c r="D130" s="356" t="str">
        <f>IF(AND(J123&lt;&gt;0,J125&lt;&gt;0,J127&lt;&gt;0),"The sponsor must establish or verify key program personnel which have been approved through the CoAEMSP.
                                               [Required]         "&amp;"President, Dean, Program Director, Medical Director  
                                               [If Applicable]    Satellite Lead Instructor(s).
The program has indicated the Program Director, "&amp;"Medical Director, and some Instructional Faculty are the same for the AEMT program.","The sponsor must establish or verify key program personnel which have been approved through the CoAEMSP."&amp;"
                                               [Required]         "&amp;"President, Dean, Program Director, Medical Director  
                                               [If Applicable]    Satellite Lead Instructor(s)")</f>
        <v>The sponsor must establish or verify key program personnel which have been approved through the CoAEMSP.
                                               [Required]         President, Dean, Program Director, Medical Director  
                                               [If Applicable]    Satellite Lead Instructor(s)</v>
      </c>
      <c r="E130" s="356"/>
      <c r="F130" s="356"/>
      <c r="G130" s="356"/>
      <c r="H130" s="356"/>
      <c r="I130" s="356"/>
      <c r="J130" s="356"/>
      <c r="K130" s="356"/>
      <c r="L130" s="356"/>
      <c r="M130" s="356"/>
      <c r="N130" s="356"/>
      <c r="O130" s="356"/>
    </row>
    <row r="131" spans="1:37" s="28" customFormat="1" ht="123" customHeight="1" x14ac:dyDescent="0.3">
      <c r="A131" s="148"/>
      <c r="B131" s="205"/>
      <c r="D131" s="295" t="s">
        <v>255</v>
      </c>
      <c r="E131" s="295"/>
      <c r="F131" s="295"/>
      <c r="G131" s="295"/>
      <c r="H131" s="295"/>
      <c r="I131" s="295"/>
      <c r="J131" s="295"/>
      <c r="K131" s="295"/>
      <c r="L131" s="295"/>
      <c r="M131" s="295"/>
      <c r="O131" s="364" t="s">
        <v>257</v>
      </c>
      <c r="P131" s="364"/>
      <c r="Q131" s="364"/>
      <c r="R131" s="264" t="s">
        <v>256</v>
      </c>
      <c r="S131" s="264"/>
      <c r="T131" s="211"/>
      <c r="U131" s="211"/>
      <c r="V131" s="211"/>
    </row>
    <row r="132" spans="1:37" s="28" customFormat="1" ht="65.25" customHeight="1" x14ac:dyDescent="0.3">
      <c r="A132" s="148"/>
      <c r="C132" s="112"/>
      <c r="D132" s="317" t="s">
        <v>264</v>
      </c>
      <c r="E132" s="317"/>
      <c r="F132" s="317"/>
      <c r="G132" s="317"/>
      <c r="H132" s="317"/>
      <c r="I132" s="317"/>
      <c r="J132" s="317"/>
      <c r="K132" s="317"/>
      <c r="L132" s="317"/>
      <c r="M132" s="317"/>
      <c r="N132" s="317"/>
      <c r="O132" s="317"/>
      <c r="S132" s="113"/>
    </row>
    <row r="133" spans="1:37" s="28" customFormat="1" ht="27" customHeight="1" x14ac:dyDescent="0.3">
      <c r="A133" s="148"/>
      <c r="C133" s="112"/>
      <c r="H133" s="274" t="s">
        <v>58</v>
      </c>
      <c r="I133" s="274"/>
      <c r="J133" s="274"/>
      <c r="K133" s="274"/>
      <c r="L133" s="274"/>
      <c r="M133" s="274"/>
      <c r="N133" s="274"/>
      <c r="S133" s="113"/>
    </row>
    <row r="134" spans="1:37" s="28" customFormat="1" ht="29.25" customHeight="1" x14ac:dyDescent="0.3">
      <c r="A134" s="148"/>
      <c r="C134" s="150">
        <f>IF(H134&lt;&gt;"",1,"")</f>
        <v>1</v>
      </c>
      <c r="D134" s="112"/>
      <c r="E134" s="346" t="s">
        <v>94</v>
      </c>
      <c r="F134" s="346"/>
      <c r="G134" s="346"/>
      <c r="H134" s="274" t="str">
        <f>IF(AND(D10&lt;&gt;"",A20="",A21=1,A22="",A23="",A24=1),"                                            03 Personnel",IF(OR(AND(A20="",A21=1,A22=1,A23="",A24=1),AND(A20=1,A21=1,A22="",A23="",A24=1),AND(A20="",A21=1,A22="",A23=1,A24=1)),"                                            04 Personnel",IF(OR(AND(A20="",A21=1,A22=1,A23=1,A24=1),AND(A20="",A21=1,A22=1,A23="",A24=1,),AND(A20=1,A21=1,A22="",A23=1,A24=1),AND(A20=1,A21=1,A22=1,A23="",A24=1)),"                                            05 Personnel",IF(AND(A20=1,A21=1,A22=1,A23=1,A24=1),"                                            06 Personnel","                                               Personnel"))))</f>
        <v xml:space="preserve">                                               Personnel</v>
      </c>
      <c r="I134" s="274"/>
      <c r="J134" s="274"/>
      <c r="K134" s="274"/>
      <c r="L134" s="274"/>
      <c r="M134" s="274"/>
      <c r="N134" s="274"/>
      <c r="S134" s="113"/>
    </row>
    <row r="135" spans="1:37" s="28" customFormat="1" ht="27.75" customHeight="1" x14ac:dyDescent="0.3">
      <c r="A135" s="148"/>
      <c r="C135" s="112"/>
      <c r="H135" s="354" t="s">
        <v>254</v>
      </c>
      <c r="I135" s="354"/>
      <c r="J135" s="354"/>
      <c r="K135" s="354"/>
      <c r="L135" s="354"/>
      <c r="M135" s="354"/>
      <c r="N135" s="354"/>
      <c r="S135" s="113"/>
    </row>
    <row r="136" spans="1:37" s="28" customFormat="1" ht="39" customHeight="1" x14ac:dyDescent="0.3">
      <c r="A136" s="148"/>
    </row>
    <row r="137" spans="1:37" s="28" customFormat="1" ht="15" customHeight="1" x14ac:dyDescent="0.3">
      <c r="A137" s="148"/>
      <c r="C137" s="352"/>
      <c r="D137" s="353" t="str">
        <f>IF(OR(J123="No",J125="No",J127="No"),"The sponsor must have an official job description or other mechanism which includes the required qualifications and position functions for the positions applicable below.","")</f>
        <v/>
      </c>
      <c r="E137" s="353"/>
      <c r="F137" s="353"/>
      <c r="G137" s="353"/>
      <c r="H137" s="353"/>
      <c r="I137" s="353"/>
      <c r="J137" s="353"/>
      <c r="K137" s="353"/>
      <c r="L137" s="353"/>
      <c r="M137" s="353"/>
    </row>
    <row r="138" spans="1:37" s="28" customFormat="1" ht="33" customHeight="1" x14ac:dyDescent="0.3">
      <c r="A138" s="148"/>
      <c r="C138" s="352"/>
      <c r="D138" s="353"/>
      <c r="E138" s="353"/>
      <c r="F138" s="353"/>
      <c r="G138" s="353"/>
      <c r="H138" s="353"/>
      <c r="I138" s="353"/>
      <c r="J138" s="353"/>
      <c r="K138" s="353"/>
      <c r="L138" s="353"/>
      <c r="M138" s="353"/>
    </row>
    <row r="139" spans="1:37" s="28" customFormat="1" ht="9" customHeight="1" x14ac:dyDescent="0.3">
      <c r="A139" s="148"/>
      <c r="I139" s="102"/>
      <c r="J139" s="102"/>
      <c r="K139" s="102"/>
      <c r="L139" s="102"/>
      <c r="M139" s="102"/>
      <c r="N139" s="102"/>
      <c r="O139" s="102"/>
      <c r="P139" s="102"/>
      <c r="Q139" s="102"/>
      <c r="R139" s="102"/>
    </row>
    <row r="140" spans="1:37" s="28" customFormat="1" ht="11.25" customHeight="1" x14ac:dyDescent="0.3">
      <c r="A140" s="148"/>
      <c r="I140" s="102"/>
      <c r="J140" s="102"/>
      <c r="K140" s="102"/>
      <c r="L140" s="102"/>
      <c r="M140" s="102"/>
      <c r="N140" s="102"/>
      <c r="O140" s="102"/>
      <c r="P140" s="102"/>
      <c r="Q140" s="102"/>
      <c r="R140" s="102"/>
    </row>
    <row r="141" spans="1:37" s="28" customFormat="1" ht="65.25" customHeight="1" x14ac:dyDescent="0.3">
      <c r="A141" s="148"/>
      <c r="C141" s="112"/>
      <c r="D141" s="317" t="str">
        <f>IF(OR(J123="No",J125="No",J127="No"),"Place a copy of the official job description or other mechanism for each of the positions applicable below in the Application sub-folder.  "&amp;"Each document must be titled with the 'EXACT document name' and must be included as the type of file format listed below (not Word, 97-2003 [.doc], Word 2013 [.docx], or Excel [.xls]).","")</f>
        <v/>
      </c>
      <c r="E141" s="317"/>
      <c r="F141" s="317"/>
      <c r="G141" s="317"/>
      <c r="H141" s="317"/>
      <c r="I141" s="317"/>
      <c r="J141" s="317"/>
      <c r="K141" s="317"/>
      <c r="L141" s="317"/>
      <c r="M141" s="317"/>
      <c r="N141" s="317"/>
      <c r="O141" s="317"/>
      <c r="S141" s="113"/>
    </row>
    <row r="142" spans="1:37" s="28" customFormat="1" ht="37.5" customHeight="1" x14ac:dyDescent="0.3">
      <c r="A142" s="148"/>
      <c r="C142" s="112"/>
      <c r="H142" s="294" t="str">
        <f>IF(OR(J123="No",J125="No",J127="No"),"         Exact Document Name (for each):","")</f>
        <v/>
      </c>
      <c r="I142" s="294"/>
      <c r="J142" s="294"/>
      <c r="K142" s="294"/>
      <c r="L142" s="294"/>
      <c r="M142" s="294"/>
      <c r="N142" s="294"/>
      <c r="S142" s="113"/>
    </row>
    <row r="143" spans="1:37" s="28" customFormat="1" ht="30.75" customHeight="1" x14ac:dyDescent="0.3">
      <c r="A143" s="148"/>
      <c r="C143" s="150" t="str">
        <f>IF(H143&lt;&gt;"",1,"")</f>
        <v/>
      </c>
      <c r="D143" s="112"/>
      <c r="H143" s="294" t="str">
        <f>IF(AND(A20="",A21=1,A22="",A23="",A24=1,J123="No"),"                                            04a Job Description PD",IF(OR(AND(A20="",A21=1,A22=1,A23="",A24=1,J123="No"),AND(A20=1,A21=1,A22="",A23="",A24=1,J123="No"),AND(A20="",A21=1,A22="",A23=1,A24=1,J123="No")),"                                            05a Job Description PD",IF(OR(AND(A20="",A21=1,A22=1,A23=1,A24=1,A25=1,J123="No"),AND(A20=1,A21=1,A22=1,A23="",A24=1,A25=1,J123="No"),AND(A20=1,A21=1,A22="",A23=1,A24=1,J123="No")),"                                            06a Job Description PD",IF(AND(A20=1,A21=1,A22=1,A23=1,A24=1,A25=1,J123="No"),"                                            07a Job Description PD",""))))</f>
        <v/>
      </c>
      <c r="I143" s="294"/>
      <c r="J143" s="294"/>
      <c r="K143" s="294"/>
      <c r="L143" s="294"/>
      <c r="M143" s="294"/>
      <c r="N143" s="294"/>
      <c r="S143" s="113"/>
    </row>
    <row r="144" spans="1:37" s="28" customFormat="1" ht="29.25" customHeight="1" x14ac:dyDescent="0.3">
      <c r="A144" s="148"/>
      <c r="C144" s="112"/>
      <c r="E144" s="114"/>
      <c r="F144" s="114"/>
      <c r="G144" s="114"/>
      <c r="H144" s="294" t="str">
        <f>IF(AND(A20="",A21=1,A22="",A23="",A24=1,A25=1,J125="No"),"                                            04b Job Description MD",IF(OR(AND(A20="",A21=1,A22=1,A23="",A24=1,A25=1,J125="No"),AND(A20=1,A21=1,A22="",A23="",A24=1,J125="No"),AND(A20="",A21=1,A22="",A23=1,A24=1,A25=1,J125="No")),"                                            05b Job Description MD",IF(OR(AND(A20="",A21=1,A22=1,A23=1,A24=1,A25=1,J125="No"),AND(A20=1,A21=1,A22=1,A23="",A24=1,A25=1,J125="No"),AND(A20=1,A21=1,A22="",A23=1,A24=1,J125="No")),"                                            06b Job Description MD",IF(AND(A20=1,A21=1,A22=1,A23=1,A24=1,A25=1,J125="No"),"                                            07b Job Description MD",""))))</f>
        <v/>
      </c>
      <c r="I144" s="294"/>
      <c r="J144" s="294"/>
      <c r="K144" s="294"/>
      <c r="L144" s="294"/>
      <c r="M144" s="294"/>
      <c r="N144" s="294"/>
      <c r="S144" s="113"/>
    </row>
    <row r="145" spans="1:22" s="28" customFormat="1" ht="30.75" customHeight="1" x14ac:dyDescent="0.3">
      <c r="A145" s="148"/>
      <c r="C145" s="112"/>
      <c r="H145" s="294" t="str">
        <f>IF(AND(A20="",A21=1,A22="",A23="",A24=1,A25=1,J127="No"),"                                            04c Job Description Faculty",IF(OR(AND(A20="",A21=1,A22=1,A23="",A24=1,A25=1,J127="No"),AND(A20=1,A21=1,A22="",A23="",A24=1,J127="No"),AND(A20="",A21=1,A22="",A23=1,A24=1,A25=1,J127="No")),"                                            05c Job Description Faculty",IF(OR(AND(A20="",A21=1,A22=1,A23=1,A24=1,A25=1,J127="No"),AND(A20=1,A21=1,A22=1,A23="",A24=1,A25=1,J127="No"),AND(A20=1,A21=1,A22="",A23=1,A24=1,J127="No")),"                                            06c Job Description Faculty",IF(AND(A20=1,A21=1,A22=1,A23=1,A24=1,A25=1,J127="No",OR(H143&lt;&gt;"",H144&lt;&gt;"")),"                                            07c Job Description Faculty",IF(AND(A20=1,A21=1,A22=1,A23=1,A24=1,A25=1,J127="No"),"                                            07 Job Description Faculty","")))))</f>
        <v/>
      </c>
      <c r="I145" s="294"/>
      <c r="J145" s="294"/>
      <c r="K145" s="294"/>
      <c r="L145" s="294"/>
      <c r="M145" s="294"/>
      <c r="N145" s="294"/>
      <c r="S145" s="113"/>
    </row>
    <row r="146" spans="1:22" s="28" customFormat="1" ht="27.75" customHeight="1" x14ac:dyDescent="0.3">
      <c r="A146" s="148"/>
      <c r="C146" s="112"/>
      <c r="H146" s="272" t="str">
        <f>IF(OR(J123="No",J125="No",J127="No"),"                   Type of File(s):    Adobe Portable Document (.pdf)","")</f>
        <v/>
      </c>
      <c r="I146" s="272"/>
      <c r="J146" s="272"/>
      <c r="K146" s="272"/>
      <c r="L146" s="272"/>
      <c r="M146" s="272"/>
      <c r="N146" s="272"/>
      <c r="S146" s="113"/>
    </row>
    <row r="147" spans="1:22" s="28" customFormat="1" ht="48" customHeight="1" x14ac:dyDescent="0.3">
      <c r="A147" s="148"/>
    </row>
    <row r="148" spans="1:22" s="28" customFormat="1" ht="29.25" customHeight="1" x14ac:dyDescent="0.3">
      <c r="A148" s="148"/>
      <c r="O148" s="285" t="str">
        <f>IF(J123="No","Link to Available Forms      
(Required if requested) ===&gt;","")</f>
        <v/>
      </c>
      <c r="P148" s="285"/>
      <c r="Q148" s="285"/>
      <c r="R148" s="284" t="str">
        <f>IF(J123="No","CoAEMSP Long Range Planning 
Program Director Responsibilities","")</f>
        <v/>
      </c>
      <c r="S148" s="284"/>
      <c r="T148" s="284"/>
      <c r="U148" s="284"/>
      <c r="V148" s="284"/>
    </row>
    <row r="149" spans="1:22" s="28" customFormat="1" ht="83.5" customHeight="1" x14ac:dyDescent="0.3">
      <c r="A149" s="148"/>
      <c r="B149" s="300" t="str">
        <f>IF(J123="No","Standard III.B.1.a.
PD Responsibilities","")</f>
        <v/>
      </c>
      <c r="C149" s="115"/>
      <c r="D149" s="301" t="str">
        <f>IF(J123="No","The AEMT Program Director must fulfill each of the duties and responsibilities for all aspects of the program identified in Standard III.B.1.a.
"&amp;"Other than long range planning, provide documentation demonstrating the Program Director is responsible for each of the duties listed below.","")</f>
        <v/>
      </c>
      <c r="E149" s="301"/>
      <c r="F149" s="301"/>
      <c r="G149" s="301"/>
      <c r="H149" s="301"/>
      <c r="I149" s="301"/>
      <c r="J149" s="301"/>
      <c r="K149" s="301"/>
      <c r="L149" s="301"/>
      <c r="M149" s="102"/>
      <c r="N149" s="102"/>
      <c r="O149" s="363" t="s">
        <v>0</v>
      </c>
      <c r="P149" s="363"/>
      <c r="Q149" s="363"/>
      <c r="R149" s="102"/>
    </row>
    <row r="150" spans="1:22" s="28" customFormat="1" ht="26.25" customHeight="1" x14ac:dyDescent="0.3">
      <c r="A150" s="148"/>
      <c r="B150" s="300"/>
      <c r="D150" s="318" t="str">
        <f>IF(J123="No","CoAEMSP provides forms.  See available link to the right ====&gt;","")</f>
        <v/>
      </c>
      <c r="E150" s="318"/>
      <c r="F150" s="318"/>
      <c r="G150" s="318"/>
      <c r="H150" s="318"/>
      <c r="I150" s="318"/>
      <c r="J150" s="318"/>
    </row>
    <row r="151" spans="1:22" s="28" customFormat="1" ht="5.25" customHeight="1" x14ac:dyDescent="0.3">
      <c r="A151" s="148"/>
      <c r="I151" s="102"/>
      <c r="J151" s="102"/>
      <c r="K151" s="102"/>
      <c r="L151" s="102"/>
      <c r="M151" s="102"/>
      <c r="N151" s="102"/>
      <c r="O151" s="102"/>
      <c r="P151" s="102"/>
      <c r="Q151" s="102"/>
      <c r="R151" s="102"/>
    </row>
    <row r="152" spans="1:22" s="28" customFormat="1" ht="5.25" customHeight="1" x14ac:dyDescent="0.35">
      <c r="A152" s="148"/>
      <c r="D152" s="236"/>
      <c r="E152" s="236"/>
      <c r="F152" s="236"/>
      <c r="G152" s="236"/>
      <c r="H152" s="236"/>
      <c r="I152" s="236"/>
      <c r="J152" s="236"/>
      <c r="K152" s="236"/>
      <c r="L152" s="236"/>
      <c r="M152" s="236"/>
      <c r="N152" s="236"/>
      <c r="O152" s="236"/>
      <c r="P152" s="102"/>
      <c r="Q152" s="102"/>
      <c r="R152" s="102"/>
    </row>
    <row r="153" spans="1:22" s="28" customFormat="1" ht="14" x14ac:dyDescent="0.3">
      <c r="A153" s="148"/>
      <c r="D153" s="103" t="str">
        <f>IF(J123="No","*","")</f>
        <v/>
      </c>
      <c r="E153" s="28" t="str">
        <f>IF(J123="No","1) Administration, organization, and supervision of the program","")</f>
        <v/>
      </c>
      <c r="I153" s="102"/>
      <c r="J153" s="102"/>
      <c r="K153" s="102"/>
      <c r="L153" s="102"/>
      <c r="M153" s="102"/>
      <c r="N153" s="102"/>
      <c r="O153" s="102"/>
      <c r="P153" s="102"/>
      <c r="Q153" s="102"/>
      <c r="R153" s="102"/>
    </row>
    <row r="154" spans="1:22" s="28" customFormat="1" ht="18.75" customHeight="1" x14ac:dyDescent="0.3">
      <c r="A154" s="148"/>
      <c r="D154" s="103" t="str">
        <f>IF(J123="No","*","")</f>
        <v/>
      </c>
      <c r="E154" s="28" t="str">
        <f>IF(J123="No","2) Continuous quality review and improvement of the educational program","")</f>
        <v/>
      </c>
      <c r="I154" s="102"/>
      <c r="J154" s="102"/>
      <c r="K154" s="102"/>
      <c r="L154" s="102"/>
      <c r="M154" s="102"/>
      <c r="N154" s="102"/>
      <c r="O154" s="102"/>
      <c r="P154" s="102"/>
      <c r="Q154" s="102"/>
      <c r="R154" s="102"/>
    </row>
    <row r="155" spans="1:22" s="28" customFormat="1" ht="18" customHeight="1" x14ac:dyDescent="0.3">
      <c r="A155" s="148"/>
      <c r="D155" s="103" t="str">
        <f>IF(J123="No","*","")</f>
        <v/>
      </c>
      <c r="E155" s="28" t="str">
        <f>IF(J123="No","3) Academic oversight, including curriculum planning and development","")</f>
        <v/>
      </c>
      <c r="I155" s="102"/>
      <c r="J155" s="102"/>
      <c r="K155" s="102"/>
      <c r="L155" s="102"/>
      <c r="M155" s="102"/>
      <c r="N155" s="102"/>
      <c r="O155" s="102"/>
      <c r="P155" s="102"/>
      <c r="Q155" s="102"/>
      <c r="R155" s="102"/>
    </row>
    <row r="156" spans="1:22" s="28" customFormat="1" ht="21.75" customHeight="1" x14ac:dyDescent="0.3">
      <c r="A156" s="148"/>
      <c r="D156" s="103" t="str">
        <f>IF(J123="No","*","")</f>
        <v/>
      </c>
      <c r="E156" s="121" t="str">
        <f>IF(J123="No","4) Orientation/training and supervision of clinical and capstone field internship preceptors","")</f>
        <v/>
      </c>
      <c r="I156" s="102"/>
      <c r="J156" s="102"/>
      <c r="K156" s="102"/>
      <c r="L156" s="102"/>
      <c r="M156" s="102"/>
      <c r="N156" s="102"/>
      <c r="O156" s="102"/>
      <c r="P156" s="102"/>
      <c r="Q156" s="102"/>
      <c r="R156" s="102"/>
    </row>
    <row r="157" spans="1:22" s="28" customFormat="1" ht="14" x14ac:dyDescent="0.3">
      <c r="A157" s="148"/>
      <c r="I157" s="102"/>
      <c r="J157" s="102"/>
      <c r="K157" s="102"/>
      <c r="L157" s="102"/>
      <c r="M157" s="102"/>
      <c r="N157" s="102"/>
      <c r="O157" s="102"/>
      <c r="P157" s="102"/>
      <c r="Q157" s="102"/>
      <c r="R157" s="102"/>
    </row>
    <row r="158" spans="1:22" s="28" customFormat="1" ht="14" x14ac:dyDescent="0.3">
      <c r="A158" s="148"/>
      <c r="I158" s="102"/>
      <c r="J158" s="102"/>
      <c r="K158" s="102"/>
      <c r="L158" s="102"/>
      <c r="M158" s="102"/>
      <c r="N158" s="102"/>
      <c r="O158" s="102"/>
      <c r="P158" s="102"/>
      <c r="Q158" s="102"/>
      <c r="R158" s="102"/>
    </row>
    <row r="159" spans="1:22" s="28" customFormat="1" ht="65.25" customHeight="1" x14ac:dyDescent="0.3">
      <c r="A159" s="148"/>
      <c r="C159" s="112"/>
      <c r="D159" s="317" t="str">
        <f>IF(J123="No","Place a completed CoAEMSP Long Range Planning form and the Program Director Responsibilities form in the Application sub-folder.  "&amp;"Each document must be titled with the 'EXACT document name' and must be included as the type of file format listed below (not Word 97-2003 [.doc], Word 2013 [.docx], or or Excel [.xls]).","")</f>
        <v/>
      </c>
      <c r="E159" s="317"/>
      <c r="F159" s="317"/>
      <c r="G159" s="317"/>
      <c r="H159" s="317"/>
      <c r="I159" s="317"/>
      <c r="J159" s="317"/>
      <c r="K159" s="317"/>
      <c r="L159" s="317"/>
      <c r="M159" s="317"/>
      <c r="N159" s="317"/>
      <c r="O159" s="317"/>
      <c r="R159" s="102"/>
      <c r="S159" s="113"/>
    </row>
    <row r="160" spans="1:22" s="28" customFormat="1" ht="27" customHeight="1" x14ac:dyDescent="0.3">
      <c r="A160" s="148"/>
      <c r="C160" s="112"/>
      <c r="H160" s="294" t="str">
        <f>IF(J123="No","        Exact Document Name:","")</f>
        <v/>
      </c>
      <c r="I160" s="294"/>
      <c r="J160" s="294"/>
      <c r="K160" s="294"/>
      <c r="L160" s="294"/>
      <c r="M160" s="294"/>
      <c r="N160" s="294"/>
      <c r="S160" s="113"/>
    </row>
    <row r="161" spans="1:37" s="28" customFormat="1" ht="29.25" customHeight="1" x14ac:dyDescent="0.3">
      <c r="A161" s="148"/>
      <c r="C161" s="112"/>
      <c r="D161" s="112"/>
      <c r="E161" s="346" t="s">
        <v>109</v>
      </c>
      <c r="F161" s="346"/>
      <c r="G161" s="346"/>
      <c r="H161" s="294" t="str">
        <f>IF(AND(A20="",A21=1,A22="",A23="",A24=1,J123="No"),"                                            05a PD Long Range Plan",IF(OR(AND(A20="",A21=1,A22=1,A23="",A24=1,J123="No"),AND(A20=1,A21=1,A22="",A23="",A24=1,J123="No"),AND(A20="",A21=1,A22="",A23=1,A24=1,J123="No")),"                                            06a PD Long Range Plan",IF(OR(AND(A20="",A21=1,A22=1,A23=1,A24=1,A25=1,J123="No"),AND(A20=1,A21=1,A22=1,A23="",A24=1,A25=1,J123="No"),AND(A20=1,A21=1,A22="",A23=1,A24=1,J123="No")),"                                            07a PD Long Range Plan",IF(AND(A20=1,A21=1,A22=1,A23=1,A24=1,A25=1,J123="No"),"                                            08a PD Long Range Plan",""))))</f>
        <v/>
      </c>
      <c r="I161" s="294"/>
      <c r="J161" s="294"/>
      <c r="K161" s="294"/>
      <c r="L161" s="294"/>
      <c r="M161" s="294"/>
      <c r="N161" s="294"/>
      <c r="S161" s="113"/>
    </row>
    <row r="162" spans="1:37" s="28" customFormat="1" ht="29.25" customHeight="1" x14ac:dyDescent="0.3">
      <c r="A162" s="148"/>
      <c r="C162" s="112"/>
      <c r="E162" s="114"/>
      <c r="F162" s="114"/>
      <c r="G162" s="114"/>
      <c r="H162" s="294" t="str">
        <f>IF(AND(A20="",A21=1,A22="",A23="",A24=1,J123="No"),"                                            05b PD Responsibilities",IF(OR(AND(A20="",A21=1,A22=1,A23="",A24=1,J123="No"),AND(A20=1,A21=1,A22="",A23="",A24=1,J123="No"),AND(A20="",A21=1,A22="",A23=1,A24=1,J123="No")),"                                            06b PD Responsibilities",IF(OR(AND(A20="",A21=1,A22=1,A23=1,A24=1,A25=1,J123="No"),AND(A20=1,A21=1,A22=1,A23="",A24=1,A25=1,J123="No"),AND(A20=1,A21=1,A22="",A23=1,A24=1,J123="No")),"                                            07b PD Responsibilities",IF(H161="                                            08a PD Long Range Plan","                                            08b PD Responsibilities",""))))</f>
        <v/>
      </c>
      <c r="I162" s="294"/>
      <c r="J162" s="294"/>
      <c r="K162" s="294"/>
      <c r="L162" s="294"/>
      <c r="M162" s="294"/>
      <c r="N162" s="294"/>
      <c r="Q162" s="116"/>
      <c r="S162" s="113"/>
    </row>
    <row r="163" spans="1:37" s="28" customFormat="1" ht="27.75" customHeight="1" x14ac:dyDescent="0.3">
      <c r="A163" s="148"/>
      <c r="C163" s="112"/>
      <c r="H163" s="272" t="str">
        <f>IF(J123="No","                   Type of File(s):    Adobe Portable Document (.pdf)","")</f>
        <v/>
      </c>
      <c r="I163" s="272"/>
      <c r="J163" s="272"/>
      <c r="K163" s="272"/>
      <c r="L163" s="272"/>
      <c r="M163" s="272"/>
      <c r="N163" s="272"/>
      <c r="S163" s="113"/>
    </row>
    <row r="164" spans="1:37" s="28" customFormat="1" ht="32.25" customHeight="1" x14ac:dyDescent="0.3">
      <c r="A164" s="148"/>
      <c r="O164" s="285" t="str">
        <f>IF(J125="No","Link to Available Forms      
(Required if requested) ===&gt;","")</f>
        <v/>
      </c>
      <c r="P164" s="285"/>
      <c r="Q164" s="285"/>
      <c r="R164" s="284" t="str">
        <f>IF(J125="No","CoAEMSP Medical Director Review
Medical Director Responsibilities","")</f>
        <v/>
      </c>
      <c r="S164" s="284"/>
      <c r="T164" s="284"/>
      <c r="U164" s="284"/>
      <c r="V164" s="284"/>
    </row>
    <row r="165" spans="1:37" s="28" customFormat="1" ht="90" customHeight="1" x14ac:dyDescent="0.3">
      <c r="A165" s="148"/>
      <c r="B165" s="300" t="str">
        <f>IF(J125="No","Standard III.B.2.a.
MD Responsibilities","")</f>
        <v/>
      </c>
      <c r="C165" s="110"/>
      <c r="D165" s="301" t="str">
        <f>IF(J125="No","The AEMT Medical Director must fulfill each of the duties and responsibilities for all aspects of the program identified in Standard III.B.2.a."&amp;"
In addition to including the MD Review Form, provide documentation demonstrating the program Medical Director is responsible for each of the duties listed below.","")</f>
        <v/>
      </c>
      <c r="E165" s="301"/>
      <c r="F165" s="301"/>
      <c r="G165" s="301"/>
      <c r="H165" s="301"/>
      <c r="I165" s="301"/>
      <c r="J165" s="301"/>
      <c r="K165" s="301"/>
      <c r="L165" s="301"/>
      <c r="M165" s="102"/>
      <c r="N165" s="102"/>
      <c r="O165" s="363" t="s">
        <v>0</v>
      </c>
      <c r="P165" s="363"/>
      <c r="Q165" s="363"/>
      <c r="R165" s="102"/>
    </row>
    <row r="166" spans="1:37" s="28" customFormat="1" ht="33" customHeight="1" x14ac:dyDescent="0.3">
      <c r="A166" s="148"/>
      <c r="B166" s="300"/>
      <c r="D166" s="283" t="str">
        <f>IF(J125="No","CoAEMSP provides a form.  See available link to the right ====&gt;","")</f>
        <v/>
      </c>
      <c r="E166" s="283"/>
      <c r="F166" s="283"/>
      <c r="G166" s="283"/>
      <c r="H166" s="283"/>
      <c r="I166" s="283"/>
      <c r="J166" s="283"/>
    </row>
    <row r="167" spans="1:37" s="28" customFormat="1" ht="5.25" customHeight="1" x14ac:dyDescent="0.3">
      <c r="A167" s="148"/>
      <c r="B167" s="300"/>
      <c r="I167" s="102"/>
      <c r="J167" s="102"/>
      <c r="K167" s="102"/>
      <c r="L167" s="102"/>
      <c r="M167" s="102"/>
      <c r="N167" s="102"/>
      <c r="O167" s="102"/>
      <c r="P167" s="102"/>
      <c r="Q167" s="102"/>
      <c r="R167" s="102"/>
    </row>
    <row r="168" spans="1:37" s="28" customFormat="1" ht="5.25" customHeight="1" x14ac:dyDescent="0.35">
      <c r="A168" s="148"/>
      <c r="D168" s="365"/>
      <c r="E168" s="365"/>
      <c r="F168" s="365"/>
      <c r="G168" s="365"/>
      <c r="H168" s="365"/>
      <c r="I168" s="365"/>
      <c r="J168" s="365"/>
      <c r="K168" s="365"/>
      <c r="L168" s="365"/>
      <c r="M168" s="365"/>
      <c r="N168" s="365"/>
      <c r="O168" s="365"/>
      <c r="P168" s="102"/>
      <c r="Q168" s="102"/>
      <c r="R168" s="102"/>
    </row>
    <row r="169" spans="1:37" s="28" customFormat="1" ht="30" customHeight="1" x14ac:dyDescent="0.3">
      <c r="A169" s="148"/>
      <c r="D169" s="122" t="str">
        <f>IF(J125="No","*","")</f>
        <v/>
      </c>
      <c r="E169" s="366" t="str">
        <f>IF(J125="No","1) Review and approve the educational content of the program to include didactic, laboratory, clinical experience, field experience, and 
    capstone field to ensure it meets current standards of medical practice","")</f>
        <v/>
      </c>
      <c r="F169" s="366"/>
      <c r="G169" s="366"/>
      <c r="H169" s="366"/>
      <c r="I169" s="366"/>
      <c r="J169" s="366"/>
      <c r="K169" s="366"/>
      <c r="L169" s="366"/>
      <c r="M169" s="366"/>
      <c r="N169" s="366"/>
      <c r="O169" s="366"/>
      <c r="P169" s="102"/>
      <c r="Q169" s="102"/>
      <c r="R169" s="102"/>
    </row>
    <row r="170" spans="1:37" s="28" customFormat="1" ht="17.25" customHeight="1" x14ac:dyDescent="0.3">
      <c r="A170" s="148"/>
      <c r="D170" s="103" t="str">
        <f>IF(J125="No","*","")</f>
        <v/>
      </c>
      <c r="E170" s="121" t="str">
        <f>IF(J125="No","2) Review and approve the required minimum numbers for each of the required patient contacts and procedures listed in these Standards","")</f>
        <v/>
      </c>
      <c r="I170" s="102"/>
      <c r="J170" s="102"/>
      <c r="K170" s="102"/>
      <c r="L170" s="102"/>
      <c r="M170" s="102"/>
      <c r="N170" s="102"/>
      <c r="O170" s="102"/>
      <c r="P170" s="102"/>
      <c r="Q170" s="102"/>
      <c r="R170" s="102"/>
    </row>
    <row r="171" spans="1:37" s="28" customFormat="1" ht="29.25" customHeight="1" x14ac:dyDescent="0.3">
      <c r="A171" s="148"/>
      <c r="D171" s="103" t="str">
        <f>IF(J125="No","*","")</f>
        <v/>
      </c>
      <c r="E171" s="366" t="str">
        <f>IF(J125="No","3) Review and approve the instruments and processes used to evaluate students in didactic, laboratory, clinical, field experience, and 
    capstone field internship","")</f>
        <v/>
      </c>
      <c r="F171" s="366"/>
      <c r="G171" s="366"/>
      <c r="H171" s="366"/>
      <c r="I171" s="366"/>
      <c r="J171" s="366"/>
      <c r="K171" s="366"/>
      <c r="L171" s="366"/>
      <c r="M171" s="366"/>
      <c r="N171" s="366"/>
      <c r="O171" s="366"/>
      <c r="P171" s="102"/>
      <c r="Q171" s="102"/>
      <c r="R171" s="102"/>
    </row>
    <row r="172" spans="1:37" s="28" customFormat="1" ht="31.5" customHeight="1" x14ac:dyDescent="0.3">
      <c r="A172" s="148"/>
      <c r="D172" s="122" t="str">
        <f>IF(J125="No","*","")</f>
        <v/>
      </c>
      <c r="E172" s="367" t="str">
        <f>IF(J125="No","4) Review the progress of each student throughout the program, and assist in the determination of appropriate corrective measures
     "&amp;"It is recommended that corrective measures occur in the cases of failing academic or clinical or field internship performance.","")</f>
        <v/>
      </c>
      <c r="F172" s="367"/>
      <c r="G172" s="367"/>
      <c r="H172" s="367"/>
      <c r="I172" s="367"/>
      <c r="J172" s="367"/>
      <c r="K172" s="367"/>
      <c r="L172" s="367"/>
      <c r="M172" s="367"/>
      <c r="N172" s="367"/>
      <c r="O172" s="367"/>
      <c r="P172" s="102"/>
      <c r="Q172" s="102"/>
      <c r="R172" s="102"/>
    </row>
    <row r="173" spans="1:37" s="28" customFormat="1" ht="15" customHeight="1" x14ac:dyDescent="0.3">
      <c r="A173" s="148"/>
      <c r="D173" s="103" t="str">
        <f>IF(J125="No","*","")</f>
        <v/>
      </c>
      <c r="E173" s="121" t="str">
        <f>IF(J125="No","5) Ensure the competence of each graduate of the program in the cognitive, psychomotor, and affective domains","")</f>
        <v/>
      </c>
      <c r="I173" s="102"/>
      <c r="J173" s="102"/>
      <c r="K173" s="102"/>
      <c r="L173" s="102"/>
      <c r="M173" s="102"/>
      <c r="N173" s="102"/>
      <c r="O173" s="102"/>
      <c r="P173" s="102"/>
      <c r="Q173" s="102"/>
      <c r="R173" s="102"/>
    </row>
    <row r="174" spans="1:37" s="28" customFormat="1" ht="17.25" customHeight="1" x14ac:dyDescent="0.3">
      <c r="A174" s="148"/>
      <c r="D174" s="103" t="str">
        <f>IF(J125="No","*","")</f>
        <v/>
      </c>
      <c r="E174" s="121" t="str">
        <f>IF(J125="No","6) Engage in cooperative involvement with the program director","")</f>
        <v/>
      </c>
      <c r="I174" s="102"/>
      <c r="J174" s="102"/>
      <c r="K174" s="102"/>
      <c r="L174" s="102"/>
      <c r="M174" s="102"/>
      <c r="N174" s="102"/>
      <c r="O174" s="102"/>
      <c r="P174" s="102"/>
      <c r="Q174" s="102"/>
      <c r="R174" s="102"/>
    </row>
    <row r="175" spans="1:37" s="89" customFormat="1" ht="49.5" customHeight="1" x14ac:dyDescent="0.3">
      <c r="A175" s="208"/>
      <c r="D175" s="123" t="str">
        <f>IF(J125="No","*","")</f>
        <v/>
      </c>
      <c r="E175" s="368" t="str">
        <f>IF(J125="No","7) Ensure the effectiveness and quality of any Medical Director responsibilities delegated to an Associate or Assistant Medical Director"&amp;"
     It is recommended that the Medical Director interaction be in a variety of settings, such as lecture, laboratory, clinical, capstone field "&amp;"
     internship.  Interaction may be by synchronous electronic methods.","")</f>
        <v/>
      </c>
      <c r="F175" s="368"/>
      <c r="G175" s="368"/>
      <c r="H175" s="368"/>
      <c r="I175" s="368"/>
      <c r="J175" s="368"/>
      <c r="K175" s="368"/>
      <c r="L175" s="368"/>
      <c r="M175" s="368"/>
      <c r="N175" s="368"/>
      <c r="O175" s="368"/>
      <c r="P175" s="117"/>
      <c r="Q175" s="117"/>
      <c r="R175" s="117"/>
      <c r="AG175" s="28"/>
      <c r="AH175" s="28"/>
      <c r="AI175" s="28"/>
      <c r="AJ175" s="28"/>
      <c r="AK175" s="28"/>
    </row>
    <row r="176" spans="1:37" s="28" customFormat="1" ht="14" x14ac:dyDescent="0.3">
      <c r="A176" s="148"/>
      <c r="I176" s="102"/>
      <c r="J176" s="102"/>
      <c r="K176" s="102"/>
      <c r="L176" s="102"/>
      <c r="M176" s="102"/>
      <c r="N176" s="102"/>
      <c r="O176" s="102"/>
      <c r="P176" s="102"/>
      <c r="Q176" s="102"/>
      <c r="R176" s="102"/>
      <c r="AG176" s="89"/>
      <c r="AH176" s="89"/>
      <c r="AI176" s="89"/>
      <c r="AJ176" s="89"/>
      <c r="AK176" s="89"/>
    </row>
    <row r="177" spans="1:19" s="28" customFormat="1" ht="14" x14ac:dyDescent="0.3">
      <c r="A177" s="148"/>
      <c r="I177" s="102"/>
      <c r="J177" s="102"/>
      <c r="K177" s="102"/>
      <c r="L177" s="102"/>
      <c r="M177" s="102"/>
      <c r="N177" s="102"/>
      <c r="O177" s="102"/>
      <c r="P177" s="102"/>
      <c r="Q177" s="102"/>
      <c r="R177" s="102"/>
    </row>
    <row r="178" spans="1:19" s="28" customFormat="1" ht="63.75" customHeight="1" x14ac:dyDescent="0.3">
      <c r="A178" s="148"/>
      <c r="C178" s="112"/>
      <c r="D178" s="317" t="str">
        <f>IF(J125="No","Place a completed CoAEMSP Medical Director Review form and a Medical Director Responsibilities form in the Application sub-folder.  "&amp;"Each document must be titled with the 'EXACT document name' and must be included as the type of file format listed below (not Word 97-2003 [.doc], Word 2013 [.docx], or or Excel [.xls]).","")</f>
        <v/>
      </c>
      <c r="E178" s="317"/>
      <c r="F178" s="317"/>
      <c r="G178" s="317"/>
      <c r="H178" s="317"/>
      <c r="I178" s="317"/>
      <c r="J178" s="317"/>
      <c r="K178" s="317"/>
      <c r="L178" s="317"/>
      <c r="M178" s="317"/>
      <c r="N178" s="317"/>
      <c r="O178" s="317"/>
      <c r="S178" s="113"/>
    </row>
    <row r="179" spans="1:19" s="28" customFormat="1" ht="27" customHeight="1" x14ac:dyDescent="0.3">
      <c r="A179" s="148"/>
      <c r="C179" s="112"/>
      <c r="H179" s="294" t="str">
        <f>IF(J125="No","        Exact Document Name:","")</f>
        <v/>
      </c>
      <c r="I179" s="294"/>
      <c r="J179" s="294"/>
      <c r="K179" s="294"/>
      <c r="L179" s="294"/>
      <c r="M179" s="294"/>
      <c r="N179" s="294"/>
      <c r="S179" s="113"/>
    </row>
    <row r="180" spans="1:19" s="28" customFormat="1" ht="29.25" customHeight="1" x14ac:dyDescent="0.3">
      <c r="A180" s="148"/>
      <c r="C180" s="150" t="str">
        <f>IF(H180&lt;&gt;"",1,"")</f>
        <v/>
      </c>
      <c r="D180" s="112"/>
      <c r="E180" s="114"/>
      <c r="F180" s="114"/>
      <c r="G180" s="114"/>
      <c r="H180" s="294" t="str">
        <f>IF(AND(H144="                                            04b Job Description MD",H161=""),"                                            05a MD Review",IF(OR(AND(J125="No",H144="                                            04b Job Description MD",H161=""),AND(J125="No",H144="                                            05b Job Description MD",H161=""),AND(J125="No",H144="                                            04b Job Description MD",H161="                                            05a PD Long Range Plan")),"                                            06a MD Review",IF(OR(AND(J125="No",H161="                                            06a PD Long Range Plan"),AND(J125="No",H144="                                            06b Job Description MD",H161="")),"                                            07a MD Review",IF(OR(AND(J125="No",H161="                                            07a PD Long Range Plan"),AND(J125="No",H143="",H144&lt;&gt;"",H145="",H161="")),"                                            08a MD Review",IF(AND(J125="No",H161="                                            08a PD Long Range Plan"),"                                            09a MD Review","")))))</f>
        <v/>
      </c>
      <c r="I180" s="294"/>
      <c r="J180" s="294"/>
      <c r="K180" s="294"/>
      <c r="L180" s="294"/>
      <c r="M180" s="294"/>
      <c r="N180" s="294"/>
      <c r="S180" s="113"/>
    </row>
    <row r="181" spans="1:19" s="28" customFormat="1" ht="29.25" customHeight="1" x14ac:dyDescent="0.3">
      <c r="A181" s="148"/>
      <c r="C181" s="112"/>
      <c r="E181" s="346" t="s">
        <v>109</v>
      </c>
      <c r="F181" s="346"/>
      <c r="G181" s="346"/>
      <c r="H181" s="294" t="str">
        <f>IF(H180="                                            05a MD Review","                                            05b MD Responsibilities",IF(H180="                                            06a MD Review","                                            06b MD Responsibilities",IF(H180="                                            07a MD Review","                                            07b MD Responsibilities",IF(H180="                                            08a MD Review","                                            08b MD Responsibilities",IF(H180="                                            09a MD Review","                                            09b MD Responsibilities","")))))</f>
        <v/>
      </c>
      <c r="I181" s="294"/>
      <c r="J181" s="294"/>
      <c r="K181" s="294"/>
      <c r="L181" s="294"/>
      <c r="M181" s="294"/>
      <c r="N181" s="294"/>
      <c r="S181" s="113"/>
    </row>
    <row r="182" spans="1:19" s="28" customFormat="1" ht="27.75" customHeight="1" x14ac:dyDescent="0.3">
      <c r="A182" s="148"/>
      <c r="C182" s="112"/>
      <c r="H182" s="272" t="str">
        <f>IF(J125="No","                   Type of File(s):    Adobe Portable Document (.pdf)","")</f>
        <v/>
      </c>
      <c r="I182" s="272"/>
      <c r="J182" s="272"/>
      <c r="K182" s="272"/>
      <c r="L182" s="272"/>
      <c r="M182" s="272"/>
      <c r="N182" s="272"/>
      <c r="S182" s="113"/>
    </row>
    <row r="183" spans="1:19" s="28" customFormat="1" ht="14" x14ac:dyDescent="0.3">
      <c r="A183" s="148"/>
    </row>
    <row r="184" spans="1:19" s="28" customFormat="1" ht="15" customHeight="1" x14ac:dyDescent="0.3">
      <c r="A184" s="148"/>
      <c r="B184" s="313" t="str">
        <f>IF(J127="No","Standard III.B.5.a.
Faculty/Instructional Staff Responsibilities","")</f>
        <v/>
      </c>
    </row>
    <row r="185" spans="1:19" s="28" customFormat="1" ht="60.75" customHeight="1" x14ac:dyDescent="0.3">
      <c r="A185" s="148"/>
      <c r="B185" s="313"/>
      <c r="C185" s="110"/>
      <c r="D185" s="301" t="str">
        <f>IF(J127="No","Identify the instructional faculty designated to coordinate supervision and provide frequent assessments of the students’ progress in achieving acceptable AEMT program requirements.  This excludes the Program Director.","")</f>
        <v/>
      </c>
      <c r="E185" s="301"/>
      <c r="F185" s="301"/>
      <c r="G185" s="301"/>
      <c r="H185" s="301"/>
      <c r="I185" s="301"/>
      <c r="J185" s="301"/>
      <c r="K185" s="301"/>
      <c r="L185" s="301"/>
    </row>
    <row r="186" spans="1:19" s="28" customFormat="1" ht="15" customHeight="1" x14ac:dyDescent="0.3">
      <c r="A186" s="148"/>
      <c r="B186" s="313"/>
      <c r="D186" s="118"/>
      <c r="E186" s="118"/>
      <c r="F186" s="118"/>
      <c r="G186" s="118"/>
      <c r="H186" s="118"/>
      <c r="I186" s="118"/>
      <c r="J186" s="118"/>
      <c r="K186" s="118"/>
    </row>
    <row r="187" spans="1:19" s="28" customFormat="1" ht="52.5" customHeight="1" x14ac:dyDescent="0.3">
      <c r="A187" s="148"/>
      <c r="C187" s="82"/>
      <c r="D187" s="355" t="str">
        <f>IF(J127="No","AEMT Faculty","")</f>
        <v/>
      </c>
      <c r="E187" s="355"/>
      <c r="F187" s="355"/>
      <c r="G187" s="355"/>
      <c r="H187" s="355"/>
      <c r="I187" s="355"/>
      <c r="J187" s="355"/>
      <c r="K187" s="355"/>
      <c r="L187" s="355"/>
      <c r="M187" s="355"/>
      <c r="N187" s="355"/>
      <c r="O187" s="119">
        <f>COUNTA(D190:E199)</f>
        <v>0</v>
      </c>
    </row>
    <row r="188" spans="1:19" s="28" customFormat="1" ht="15" customHeight="1" x14ac:dyDescent="0.3">
      <c r="A188" s="148"/>
      <c r="D188" s="314" t="str">
        <f>IF(J127="No","AEMT Faculty 
Member Name","")</f>
        <v/>
      </c>
      <c r="E188" s="315"/>
      <c r="F188" s="112" t="str">
        <f>IF(J127="No","Degrees &amp;","")</f>
        <v/>
      </c>
      <c r="G188" s="82" t="str">
        <f>IF(J127="No","Position","")</f>
        <v/>
      </c>
      <c r="H188" s="112" t="str">
        <f>IF(J127="No","Yrs in","")</f>
        <v/>
      </c>
      <c r="I188" s="112" t="str">
        <f>IF(J127="No","Didactic","")</f>
        <v/>
      </c>
      <c r="J188" s="112" t="str">
        <f>IF(J127="No","Avg # Hrs/","")</f>
        <v/>
      </c>
      <c r="K188" s="82" t="str">
        <f>IF(J127="No","% of time","")</f>
        <v/>
      </c>
      <c r="L188" s="82" t="str">
        <f>IF(J127="No","% of time","")</f>
        <v/>
      </c>
      <c r="M188" s="112" t="str">
        <f>IF(J127="No","% of time","")</f>
        <v/>
      </c>
      <c r="N188" s="112" t="str">
        <f>IF(J127="No","% of time","")</f>
        <v/>
      </c>
    </row>
    <row r="189" spans="1:19" s="28" customFormat="1" ht="24" customHeight="1" x14ac:dyDescent="0.3">
      <c r="A189" s="148"/>
      <c r="D189" s="315"/>
      <c r="E189" s="315"/>
      <c r="F189" s="128" t="str">
        <f>IF(J127="No","Credentials","")</f>
        <v/>
      </c>
      <c r="G189" s="82" t="str">
        <f>IF(J127="No","(Select below)","")</f>
        <v/>
      </c>
      <c r="H189" s="128" t="str">
        <f>IF(J127="No","Position","")</f>
        <v/>
      </c>
      <c r="I189" s="128" t="str">
        <f>IF(J127="No","or Lab?","")</f>
        <v/>
      </c>
      <c r="J189" s="128" t="str">
        <f>IF(J127="No","Week","")</f>
        <v/>
      </c>
      <c r="K189" s="128" t="str">
        <f>IF(J127="No","Didactic","")</f>
        <v/>
      </c>
      <c r="L189" s="128" t="str">
        <f>IF(J127="No","Lab","")</f>
        <v/>
      </c>
      <c r="M189" s="128" t="str">
        <f>IF(J127="No","Clinical","")</f>
        <v/>
      </c>
      <c r="N189" s="128" t="str">
        <f>IF(J127="No","Field","")</f>
        <v/>
      </c>
    </row>
    <row r="190" spans="1:19" s="28" customFormat="1" ht="14" x14ac:dyDescent="0.3">
      <c r="A190" s="148"/>
      <c r="C190" s="120" t="str">
        <f>IF(J127="No","a.","")</f>
        <v/>
      </c>
      <c r="D190" s="316"/>
      <c r="E190" s="267"/>
      <c r="F190" s="124"/>
      <c r="G190" s="125"/>
      <c r="H190" s="126"/>
      <c r="I190" s="126"/>
      <c r="J190" s="126"/>
      <c r="K190" s="126"/>
      <c r="L190" s="126"/>
      <c r="M190" s="126"/>
      <c r="N190" s="126"/>
    </row>
    <row r="191" spans="1:19" s="28" customFormat="1" ht="14" x14ac:dyDescent="0.3">
      <c r="A191" s="148"/>
      <c r="C191" s="120" t="str">
        <f>IF(J127="No","b.","")</f>
        <v/>
      </c>
      <c r="D191" s="267"/>
      <c r="E191" s="267"/>
      <c r="F191" s="124"/>
      <c r="G191" s="125"/>
      <c r="H191" s="126"/>
      <c r="I191" s="126"/>
      <c r="J191" s="126"/>
      <c r="K191" s="126"/>
      <c r="L191" s="126"/>
      <c r="M191" s="126"/>
      <c r="N191" s="126"/>
    </row>
    <row r="192" spans="1:19" s="28" customFormat="1" ht="14" x14ac:dyDescent="0.3">
      <c r="A192" s="148"/>
      <c r="C192" s="120" t="str">
        <f>IF(J127="No","c.","")</f>
        <v/>
      </c>
      <c r="D192" s="267"/>
      <c r="E192" s="267"/>
      <c r="F192" s="124"/>
      <c r="G192" s="125"/>
      <c r="H192" s="126"/>
      <c r="I192" s="126"/>
      <c r="J192" s="126"/>
      <c r="K192" s="126"/>
      <c r="L192" s="126"/>
      <c r="M192" s="126"/>
      <c r="N192" s="126"/>
    </row>
    <row r="193" spans="1:19" s="28" customFormat="1" ht="14" x14ac:dyDescent="0.3">
      <c r="A193" s="148"/>
      <c r="C193" s="120" t="str">
        <f>IF(J127="No","d.","")</f>
        <v/>
      </c>
      <c r="D193" s="267"/>
      <c r="E193" s="267"/>
      <c r="F193" s="124"/>
      <c r="G193" s="125"/>
      <c r="H193" s="126"/>
      <c r="I193" s="126"/>
      <c r="J193" s="126"/>
      <c r="K193" s="126"/>
      <c r="L193" s="126"/>
      <c r="M193" s="126"/>
      <c r="N193" s="126"/>
    </row>
    <row r="194" spans="1:19" s="28" customFormat="1" ht="14" x14ac:dyDescent="0.3">
      <c r="A194" s="148"/>
      <c r="C194" s="120" t="str">
        <f>IF(J127="No","e.","")</f>
        <v/>
      </c>
      <c r="D194" s="267"/>
      <c r="E194" s="267"/>
      <c r="F194" s="124"/>
      <c r="G194" s="125"/>
      <c r="H194" s="126"/>
      <c r="I194" s="126"/>
      <c r="J194" s="126"/>
      <c r="K194" s="126"/>
      <c r="L194" s="126"/>
      <c r="M194" s="126"/>
      <c r="N194" s="126"/>
    </row>
    <row r="195" spans="1:19" s="28" customFormat="1" ht="14" x14ac:dyDescent="0.3">
      <c r="A195" s="148"/>
      <c r="C195" s="120" t="str">
        <f>IF(J127="No","f.","")</f>
        <v/>
      </c>
      <c r="D195" s="267"/>
      <c r="E195" s="267"/>
      <c r="F195" s="124"/>
      <c r="G195" s="125"/>
      <c r="H195" s="126"/>
      <c r="I195" s="126"/>
      <c r="J195" s="126"/>
      <c r="K195" s="126"/>
      <c r="L195" s="126"/>
      <c r="M195" s="126"/>
      <c r="N195" s="126"/>
    </row>
    <row r="196" spans="1:19" s="28" customFormat="1" ht="14" x14ac:dyDescent="0.3">
      <c r="A196" s="148"/>
      <c r="C196" s="120" t="str">
        <f>IF(J127="No","g.","")</f>
        <v/>
      </c>
      <c r="D196" s="267"/>
      <c r="E196" s="267"/>
      <c r="F196" s="124"/>
      <c r="G196" s="125"/>
      <c r="H196" s="126"/>
      <c r="I196" s="126"/>
      <c r="J196" s="126"/>
      <c r="K196" s="126"/>
      <c r="L196" s="126"/>
      <c r="M196" s="126"/>
      <c r="N196" s="126"/>
    </row>
    <row r="197" spans="1:19" s="28" customFormat="1" ht="14" x14ac:dyDescent="0.3">
      <c r="A197" s="148"/>
      <c r="C197" s="120" t="str">
        <f>IF(J127="No","h.","")</f>
        <v/>
      </c>
      <c r="D197" s="267"/>
      <c r="E197" s="267"/>
      <c r="F197" s="124"/>
      <c r="G197" s="125"/>
      <c r="H197" s="126"/>
      <c r="I197" s="126"/>
      <c r="J197" s="126"/>
      <c r="K197" s="126"/>
      <c r="L197" s="126"/>
      <c r="M197" s="126"/>
      <c r="N197" s="126"/>
    </row>
    <row r="198" spans="1:19" s="28" customFormat="1" ht="14" x14ac:dyDescent="0.3">
      <c r="A198" s="148"/>
      <c r="C198" s="120" t="str">
        <f>IF(J127="No","i.","")</f>
        <v/>
      </c>
      <c r="D198" s="267"/>
      <c r="E198" s="267"/>
      <c r="F198" s="124"/>
      <c r="G198" s="125"/>
      <c r="H198" s="127"/>
      <c r="I198" s="126"/>
      <c r="J198" s="127"/>
      <c r="K198" s="127"/>
      <c r="L198" s="127"/>
      <c r="M198" s="127"/>
      <c r="N198" s="127"/>
    </row>
    <row r="199" spans="1:19" s="28" customFormat="1" ht="14" x14ac:dyDescent="0.3">
      <c r="A199" s="148"/>
      <c r="C199" s="120" t="str">
        <f>IF(J127="No","j.","")</f>
        <v/>
      </c>
      <c r="D199" s="267"/>
      <c r="E199" s="267"/>
      <c r="F199" s="124"/>
      <c r="G199" s="125"/>
      <c r="H199" s="127"/>
      <c r="I199" s="126"/>
      <c r="J199" s="127"/>
      <c r="K199" s="127"/>
      <c r="L199" s="127"/>
      <c r="M199" s="127"/>
      <c r="N199" s="127"/>
    </row>
    <row r="200" spans="1:19" s="28" customFormat="1" ht="14" x14ac:dyDescent="0.3">
      <c r="A200" s="148"/>
    </row>
    <row r="201" spans="1:19" s="28" customFormat="1" ht="65.25" customHeight="1" x14ac:dyDescent="0.3">
      <c r="A201" s="148"/>
      <c r="C201" s="112"/>
      <c r="D201" s="317" t="str">
        <f>IF(J127="No","Place a current curriculum vitae (CV) for each of the AEMT faculty members listed above in the Application sub-folder.  "&amp;"Each document must be titled with the 'EXACT document name' and must be included as the type of file format listed below (not Word 97-2003 [.doc], Word 2013 [.docx], or Excel [.xls]).","")</f>
        <v/>
      </c>
      <c r="E201" s="317"/>
      <c r="F201" s="317"/>
      <c r="G201" s="317"/>
      <c r="H201" s="317"/>
      <c r="I201" s="317"/>
      <c r="J201" s="317"/>
      <c r="K201" s="317"/>
      <c r="L201" s="317"/>
      <c r="M201" s="317"/>
      <c r="N201" s="317"/>
      <c r="O201" s="317"/>
      <c r="S201" s="113"/>
    </row>
    <row r="202" spans="1:19" s="28" customFormat="1" ht="27" customHeight="1" x14ac:dyDescent="0.3">
      <c r="A202" s="148"/>
      <c r="C202" s="112"/>
      <c r="H202" s="294" t="str">
        <f>IF(J127="No","        Exact Document Name (for each):","")</f>
        <v/>
      </c>
      <c r="I202" s="294"/>
      <c r="J202" s="294"/>
      <c r="K202" s="294"/>
      <c r="L202" s="294"/>
      <c r="M202" s="294"/>
      <c r="N202" s="294"/>
      <c r="S202" s="113"/>
    </row>
    <row r="203" spans="1:19" s="28" customFormat="1" ht="27" customHeight="1" x14ac:dyDescent="0.3">
      <c r="A203" s="148"/>
      <c r="C203" s="112"/>
      <c r="D203" s="112"/>
      <c r="H203" s="294" t="str">
        <f>IF(AND(H134="                                            03 Personnel",H143="",H144="",H145&lt;&gt;"",D190&lt;&gt;""),"                                            05a Faculty CV",IF(OR(AND(H134="                                            03 Personnel",H143&lt;&gt;"",H144="",H145&lt;&gt;"",D190&lt;&gt;""),AND(H134="                                            03 Personnel",H143="",H144&lt;&gt;"",H145&lt;&gt;"",D190&lt;&gt;""),AND(H134="                                            03 Personnel",H143="",H144="",H145&lt;&gt;"",D190&lt;&gt;""),AND(A20=1,A21=1,A22="",A23="",A24=1,A25=1,A26=1,A27="",A28="",A29=1,D190&lt;&gt;""),AND(H134="                                            04 Personnel",H143="",H144="",H145&lt;&gt;"",D190&lt;&gt;"")),"                                            06a Faculty CV",IF(OR(AND(H134="                                            03 Personnel",H143&lt;&gt;"",H144&lt;&gt;"",H145&lt;&gt;"",D190&lt;&gt;""),AND(H134="                                            05 Personnel",H143="",H144="",H145&lt;&gt;"",D190&lt;&gt;""),AND(H134="                                            04 Personnel",H143&lt;&gt;"",H144="",H145&lt;&gt;"",D190&lt;&gt;""),AND(H134="                                            04 Personnel",H143="",H144&lt;&gt;"",H145&lt;&gt;"",D190&lt;&gt;"")),"                                            07a Faculty CV",IF(OR(AND(H134="                                            04 Personnel",H143&lt;&gt;"",H144&lt;&gt;"",H145&lt;&gt;"",D190&lt;&gt;""),AND(H134="                                            05 Personnel",H143="",H144&lt;&gt;"",H145&lt;&gt;"",D190&lt;&gt;""),AND(H134="                                            05 Personnel",H143&lt;&gt;"",H144="",H145&lt;&gt;"",D190&lt;&gt;""),AND(H134="                                            06 Personnel",H143="",H144="",H145&lt;&gt;"",D190&lt;&gt;"")),"                                            08a Faculty CV",IF(OR(AND(A20="",A21=1,A22=1,A23=1,A24=1,A25=1,A26=1,A27=1,A28=1,J127="No",D190&lt;&gt;""),AND(A20=1,A21=1,A22=1,A23="",A24=1,A25=1,A26=1,A27=1,A28=1,J127="No",D190&lt;&gt;""),AND(A20=1,A21=1,A22=1,A23=1,A24=1,A25=1,A26=1,A27=1,A28="",J127="No",D190&lt;&gt;""),AND(A20=1,A21=1,A22="",A23=1,A24=1,A25=1,A26=1,A27=1,A28=1,J127="No",D190&lt;&gt;""),AND(A20=1,A21=1,A22=1,A23=1,A24=1,A25=1,A26=1,A27="",A28=1,J127="No",D190&lt;&gt;"")),"                                            09a Faculty CV",IF(AND(J127="No",H180="                                            09a MD Review",D190&lt;&gt;""),"                                            10a Faculty CV",""))))))</f>
        <v/>
      </c>
      <c r="I203" s="294"/>
      <c r="J203" s="294"/>
      <c r="K203" s="294"/>
      <c r="L203" s="294"/>
      <c r="M203" s="294"/>
      <c r="N203" s="294"/>
      <c r="S203" s="113"/>
    </row>
    <row r="204" spans="1:19" s="28" customFormat="1" ht="29.25" customHeight="1" x14ac:dyDescent="0.3">
      <c r="A204" s="148"/>
      <c r="C204" s="112"/>
      <c r="E204" s="271"/>
      <c r="F204" s="271"/>
      <c r="G204" s="271"/>
      <c r="H204" s="294" t="str">
        <f>IF(AND(H203="                                            05a Faculty CV",D191&lt;&gt;""),"                                            05b Faculty CV",IF(AND(H203="                                            06a Faculty CV",D191&lt;&gt;""),"                                            06b Faculty CV",IF(AND(H203="                                            07a Faculty CV",D191&lt;&gt;""),"                                            07b Faculty CV",IF(AND(H203="                                            08a Faculty CV",D191&lt;&gt;""),"                                            08b Faculty CV",IF(AND(H203="                                            09a Faculty CV",D191&lt;&gt;""),"                                            09b Faculty CV",IF(AND(J127="No",H180="                                            09a MD Review",D191&lt;&gt;""),"                                            10b Faculty CV",""))))))</f>
        <v/>
      </c>
      <c r="I204" s="294"/>
      <c r="J204" s="294"/>
      <c r="K204" s="294"/>
      <c r="L204" s="294"/>
      <c r="M204" s="294"/>
      <c r="N204" s="294"/>
      <c r="S204" s="113"/>
    </row>
    <row r="205" spans="1:19" s="28" customFormat="1" ht="27" customHeight="1" x14ac:dyDescent="0.3">
      <c r="A205" s="148"/>
      <c r="C205" s="112"/>
      <c r="H205" s="294" t="str">
        <f>IF(AND(H203="                                            05a Faculty CV",D192&lt;&gt;""),"                                            05c Faculty CV",IF(AND(H203="                                            06a Faculty CV",D192&lt;&gt;""),"                                            06c Faculty CV",IF(AND(H203="                                            07a Faculty CV",D192&lt;&gt;""),"                                            07c Faculty CV",IF(AND(H203="                                            08a Faculty CV",D192&lt;&gt;""),"                                            08c Faculty CV",IF(AND(H203="                                            09a Faculty CV",D192&lt;&gt;""),"                                            09c Faculty CV",IF(AND(J127="No",H180="                                            09a MD Review",D192&lt;&gt;""),"                                            10c Faculty CV",""))))))</f>
        <v/>
      </c>
      <c r="I205" s="294"/>
      <c r="J205" s="294"/>
      <c r="K205" s="294"/>
      <c r="L205" s="294"/>
      <c r="M205" s="294"/>
      <c r="N205" s="294"/>
      <c r="S205" s="113"/>
    </row>
    <row r="206" spans="1:19" s="28" customFormat="1" ht="27" customHeight="1" x14ac:dyDescent="0.3">
      <c r="A206" s="148"/>
      <c r="C206" s="112"/>
      <c r="H206" s="294" t="str">
        <f>IF(AND(H203="                                            05a Faculty CV",D193&lt;&gt;""),"                                            05d Faculty CV",IF(AND(H203="                                            06a Faculty CV",D193&lt;&gt;""),"                                            06d Faculty CV",IF(AND(H203="                                            07a Faculty CV",D193&lt;&gt;""),"                                            07d Faculty CV",IF(AND(H203="                                            08a Faculty CV",D193&lt;&gt;""),"                                            08d Faculty CV",IF(AND(H203="                                            09a Faculty CV",D193&lt;&gt;""),"                                            09d Faculty CV",IF(AND(J127="No",H180="                                            09a MD Review",D193&lt;&gt;""),"                                            10d Faculty CV",""))))))</f>
        <v/>
      </c>
      <c r="I206" s="294"/>
      <c r="J206" s="294"/>
      <c r="K206" s="294"/>
      <c r="L206" s="294"/>
      <c r="M206" s="294"/>
      <c r="N206" s="294"/>
      <c r="S206" s="113"/>
    </row>
    <row r="207" spans="1:19" s="28" customFormat="1" ht="27" customHeight="1" x14ac:dyDescent="0.3">
      <c r="A207" s="148"/>
      <c r="C207" s="112"/>
      <c r="H207" s="294" t="str">
        <f>IF(AND(H203="                                            05a Faculty CV",D194&lt;&gt;""),"                                            05e Faculty CV",IF(AND(H203="                                            06a Faculty CV",D194&lt;&gt;""),"                                            06e Faculty CV",IF(AND(H203="                                            07a Faculty CV",D194&lt;&gt;""),"                                            07e Faculty CV",IF(AND(H203="                                            08a Faculty CV",D194&lt;&gt;""),"                                            08e Faculty CV",IF(AND(H203="                                            09a Faculty CV",D194&lt;&gt;""),"                                            09e Faculty CV",IF(AND(J127="No",H180="                                            09a MD Review",D194&lt;&gt;""),"                                            10e Faculty CV",""))))))</f>
        <v/>
      </c>
      <c r="I207" s="294"/>
      <c r="J207" s="294"/>
      <c r="K207" s="294"/>
      <c r="L207" s="294"/>
      <c r="M207" s="294"/>
      <c r="N207" s="294"/>
      <c r="S207" s="113"/>
    </row>
    <row r="208" spans="1:19" s="28" customFormat="1" ht="27" customHeight="1" x14ac:dyDescent="0.3">
      <c r="A208" s="148"/>
      <c r="C208" s="112"/>
      <c r="H208" s="294" t="str">
        <f>IF(AND(H203="                                            05a Faculty CV",D195&lt;&gt;""),"                                            05f Faculty CV",IF(AND(H203="                                            06a Faculty CV",D195&lt;&gt;""),"                                            06f Faculty CV",IF(AND(H203="                                            07a Faculty CV",D195&lt;&gt;""),"                                            07f Faculty CV",IF(AND(H203="                                            08a Faculty CV",D195&lt;&gt;""),"                                            08f Faculty CV",IF(AND(H203="                                            09a Faculty CV",D195&lt;&gt;""),"                                            09f Faculty CV",IF(AND(J127="No",H180="                                            09a MD Review",D195&lt;&gt;""),"                                            10f Faculty CV",""))))))</f>
        <v/>
      </c>
      <c r="I208" s="294"/>
      <c r="J208" s="294"/>
      <c r="K208" s="294"/>
      <c r="L208" s="294"/>
      <c r="M208" s="294"/>
      <c r="N208" s="294"/>
      <c r="S208" s="113"/>
    </row>
    <row r="209" spans="1:37" s="28" customFormat="1" ht="27" customHeight="1" x14ac:dyDescent="0.3">
      <c r="A209" s="148"/>
      <c r="C209" s="112"/>
      <c r="H209" s="294" t="str">
        <f>IF(AND(H203="                                            05a Faculty CV",D196&lt;&gt;""),"                                            05g Faculty CV",IF(AND(H203="                                            06a Faculty CV",D196&lt;&gt;""),"                                            06g Faculty CV",IF(AND(H203="                                            07a Faculty CV",D196&lt;&gt;""),"                                            07g Faculty CV",IF(AND(H203="                                            08a Faculty CV",D196&lt;&gt;""),"                                            08g Faculty CV",IF(AND(H203="                                            09a Faculty CV",D196&lt;&gt;""),"                                            09g Faculty CV",IF(AND(J127="No",H180="                                            09a MD Review",D196&lt;&gt;""),"                                            10g Faculty CV",""))))))</f>
        <v/>
      </c>
      <c r="I209" s="294"/>
      <c r="J209" s="294"/>
      <c r="K209" s="294"/>
      <c r="L209" s="294"/>
      <c r="M209" s="294"/>
      <c r="N209" s="294"/>
      <c r="S209" s="113"/>
    </row>
    <row r="210" spans="1:37" s="28" customFormat="1" ht="27" customHeight="1" x14ac:dyDescent="0.3">
      <c r="A210" s="148"/>
      <c r="C210" s="112"/>
      <c r="H210" s="294" t="str">
        <f>IF(AND(H203="                                            05a Faculty CV",D197&lt;&gt;""),"                                            05h Faculty CV",IF(AND(H203="                                            06a Faculty CV",D197&lt;&gt;""),"                                            06h Faculty CV",IF(AND(H203="                                            07a Faculty CV",D197&lt;&gt;""),"                                            07h Faculty CV",IF(AND(H203="                                            08a Faculty CV",D197&lt;&gt;""),"                                            08h Faculty CV",IF(AND(H203="                                            09a Faculty CV",D197&lt;&gt;""),"                                            09h Faculty CV",IF(AND(J127="No",H180="                                            09a MD Review",D197&lt;&gt;""),"                                            10h Faculty CV",""))))))</f>
        <v/>
      </c>
      <c r="I210" s="294"/>
      <c r="J210" s="294"/>
      <c r="K210" s="294"/>
      <c r="L210" s="294"/>
      <c r="M210" s="294"/>
      <c r="N210" s="294"/>
      <c r="S210" s="113"/>
    </row>
    <row r="211" spans="1:37" s="28" customFormat="1" ht="27" customHeight="1" x14ac:dyDescent="0.3">
      <c r="A211" s="148"/>
      <c r="C211" s="112"/>
      <c r="H211" s="294" t="str">
        <f>IF(AND(H203="                                            05a Faculty CV",D198&lt;&gt;""),"                                            05i Faculty CV",IF(AND(H203="                                            06a Faculty CV",D198&lt;&gt;""),"                                            06i Faculty CV",IF(AND(H203="                                            07a Faculty CV",D198&lt;&gt;""),"                                            07i Faculty CV",IF(AND(H203="                                            08a Faculty CV",D198&lt;&gt;""),"                                            08i Faculty CV",IF(AND(H203="                                            09a Faculty CV",D198&lt;&gt;""),"                                            09i Faculty CV",IF(AND(J127="No",H180="                                            09a MD Review",D198&lt;&gt;""),"                                            10i Faculty CV",""))))))</f>
        <v/>
      </c>
      <c r="I211" s="294"/>
      <c r="J211" s="294"/>
      <c r="K211" s="294"/>
      <c r="L211" s="294"/>
      <c r="M211" s="294"/>
      <c r="N211" s="294"/>
      <c r="S211" s="113"/>
    </row>
    <row r="212" spans="1:37" s="28" customFormat="1" ht="27" customHeight="1" x14ac:dyDescent="0.3">
      <c r="A212" s="148"/>
      <c r="C212" s="112"/>
      <c r="H212" s="294" t="str">
        <f>IF(AND(H203="                                            05a Faculty CV",D199&lt;&gt;""),"                                            05j Faculty CV",IF(AND(H203="                                            06a Faculty CV",D199&lt;&gt;""),"                                            06j Faculty CV",IF(AND(H203="                                            07a Faculty CV",D199&lt;&gt;""),"                                            07j Faculty CV",IF(AND(H203="                                            08a Faculty CV",D199&lt;&gt;""),"                                            08j Faculty CV",IF(AND(H203="                                            09a Faculty CV",D199&lt;&gt;""),"                                            09j Faculty CV",IF(AND(J127="No",H180="                                            09a MD Review",D199&lt;&gt;""),"                                            10j Faculty CV",""))))))</f>
        <v/>
      </c>
      <c r="I212" s="294"/>
      <c r="J212" s="294"/>
      <c r="K212" s="294"/>
      <c r="L212" s="294"/>
      <c r="M212" s="294"/>
      <c r="N212" s="294"/>
      <c r="S212" s="113"/>
    </row>
    <row r="213" spans="1:37" s="28" customFormat="1" ht="27.75" customHeight="1" x14ac:dyDescent="0.3">
      <c r="A213" s="148"/>
      <c r="C213" s="112"/>
      <c r="H213" s="272" t="str">
        <f>IF(OR(D190="n/a",D190="na", D190=""),"","                   Type of File(s):    Adobe Portable Document (.pdf)")</f>
        <v/>
      </c>
      <c r="I213" s="272"/>
      <c r="J213" s="272"/>
      <c r="K213" s="272"/>
      <c r="L213" s="272"/>
      <c r="M213" s="272"/>
      <c r="N213" s="272"/>
      <c r="S213" s="113"/>
    </row>
    <row r="214" spans="1:37" s="28" customFormat="1" ht="14" x14ac:dyDescent="0.3">
      <c r="A214" s="148"/>
    </row>
    <row r="215" spans="1:37" ht="15" customHeight="1" x14ac:dyDescent="0.35">
      <c r="C215" s="13"/>
      <c r="AG215" s="28"/>
      <c r="AH215" s="28"/>
      <c r="AI215" s="28"/>
      <c r="AJ215" s="28"/>
      <c r="AK215" s="28"/>
    </row>
    <row r="216" spans="1:37" ht="15" customHeight="1" x14ac:dyDescent="0.35">
      <c r="C216" s="13"/>
    </row>
    <row r="217" spans="1:37" ht="48" customHeight="1" x14ac:dyDescent="0.35"/>
    <row r="218" spans="1:37" ht="31.5" customHeight="1" x14ac:dyDescent="0.35">
      <c r="O218" s="309" t="s">
        <v>90</v>
      </c>
      <c r="P218" s="309"/>
      <c r="Q218" s="309"/>
      <c r="R218" s="298" t="s">
        <v>57</v>
      </c>
      <c r="S218" s="298"/>
      <c r="T218" s="298"/>
      <c r="U218" s="298"/>
      <c r="V218" s="298"/>
    </row>
    <row r="219" spans="1:37" ht="138.75" customHeight="1" x14ac:dyDescent="0.35">
      <c r="B219" s="192" t="s">
        <v>60</v>
      </c>
      <c r="C219" s="30"/>
      <c r="D219" s="307" t="s">
        <v>83</v>
      </c>
      <c r="E219" s="307"/>
      <c r="F219" s="307"/>
      <c r="G219" s="307"/>
      <c r="H219" s="307"/>
      <c r="I219" s="307"/>
      <c r="J219" s="307"/>
      <c r="K219" s="307"/>
      <c r="L219" s="307"/>
      <c r="M219" s="12"/>
      <c r="N219" s="12"/>
      <c r="O219" s="308" t="s">
        <v>0</v>
      </c>
      <c r="P219" s="308"/>
      <c r="Q219" s="308"/>
      <c r="R219" s="12"/>
    </row>
    <row r="220" spans="1:37" ht="29.25" customHeight="1" x14ac:dyDescent="0.35">
      <c r="B220" s="16"/>
      <c r="D220" s="357" t="s">
        <v>54</v>
      </c>
      <c r="E220" s="357"/>
      <c r="F220" s="357"/>
      <c r="G220" s="357"/>
      <c r="H220" s="357"/>
      <c r="I220" s="357"/>
      <c r="J220" s="357"/>
    </row>
    <row r="221" spans="1:37" ht="18" customHeight="1" x14ac:dyDescent="0.35">
      <c r="B221" s="16"/>
      <c r="D221" s="17"/>
      <c r="E221" s="17"/>
      <c r="F221" s="17"/>
      <c r="G221" s="17"/>
      <c r="H221" s="17"/>
      <c r="I221" s="17"/>
      <c r="J221" s="17"/>
    </row>
    <row r="222" spans="1:37" ht="54.75" customHeight="1" x14ac:dyDescent="0.35">
      <c r="B222" s="16"/>
      <c r="D222" s="358" t="s">
        <v>93</v>
      </c>
      <c r="E222" s="358"/>
      <c r="F222" s="358"/>
      <c r="G222" s="358"/>
      <c r="H222" s="358"/>
      <c r="I222" s="358"/>
      <c r="J222" s="73"/>
      <c r="K222" s="74"/>
      <c r="L222" s="305" t="str">
        <f>IF(J222="Yes","The program should maintain on file the rationale for any program required minimum numbers below the CoAEMSP recommended numbers.","")</f>
        <v/>
      </c>
      <c r="M222" s="305"/>
      <c r="N222" s="305"/>
      <c r="O222" s="305"/>
      <c r="P222" s="305"/>
      <c r="Q222" s="305"/>
    </row>
    <row r="223" spans="1:37" x14ac:dyDescent="0.35">
      <c r="C223" s="13"/>
    </row>
    <row r="224" spans="1:37" ht="70.5" customHeight="1" x14ac:dyDescent="0.35">
      <c r="C224" s="9"/>
      <c r="D224" s="322" t="s">
        <v>111</v>
      </c>
      <c r="E224" s="322"/>
      <c r="F224" s="322"/>
      <c r="G224" s="322"/>
      <c r="H224" s="322"/>
      <c r="I224" s="322"/>
      <c r="J224" s="322"/>
      <c r="K224" s="322"/>
      <c r="L224" s="322"/>
      <c r="M224" s="322"/>
      <c r="N224" s="322"/>
      <c r="O224" s="322"/>
      <c r="S224" s="10"/>
    </row>
    <row r="225" spans="2:19" ht="27" customHeight="1" x14ac:dyDescent="0.35">
      <c r="C225" s="9"/>
      <c r="H225" s="274" t="s">
        <v>58</v>
      </c>
      <c r="I225" s="274"/>
      <c r="J225" s="274"/>
      <c r="K225" s="274"/>
      <c r="L225" s="274"/>
      <c r="M225" s="274"/>
      <c r="N225" s="274"/>
      <c r="S225" s="10"/>
    </row>
    <row r="226" spans="2:19" ht="29.25" customHeight="1" x14ac:dyDescent="0.35">
      <c r="C226" s="9"/>
      <c r="D226" s="9"/>
      <c r="E226" s="351"/>
      <c r="F226" s="351"/>
      <c r="G226" s="351"/>
      <c r="H226" s="274" t="str">
        <f>IF(AND(D10&lt;&gt;"",A20="",A21=1,A22="",A23="",A24=1,A25=1,A26="",A27="",A28="",A29=""),"                                            04 SMC Numbers",IF(OR(AND(A20="",A21=1,A22="",A23=1,A24=1,A25=1,A26="",A27="",A28="",A29=""),AND(A20=1,A21=1,A22="",A23="",A24=1,A25=1,A26="",A27="",A28="",A29=""),AND(A20="",A21=1,A22=1,A23="",A24=1,A25=1,A26="",A27="",A28="",A29="")),"                                            05 SMC Numbers",IF(OR(AND(A20="",A21=1,A22="",A23="",A24=1,A25=1,A26=1,A27="",A28=1,A29=""),AND(A20="",A21=1,A22="",A23="",A24=1,A25=1,A26=1,A27=1,A28="",A29=""),AND(A20="",A21=1,A22="",A23="",A24=1,A25=1,A26=1,A27="",A28="",A29=1),AND(A20="",A21=1,A22=1,A23=1,A24=1,A25=1,A26="",A27="",A28="",A29=""),AND(A20=1,A21=1,A22="",A23=1,A24=1,A25=1,A26="",A27="",A28="",A29=""),AND(A20=1,A21=1,A22=1,A23="",A24=1,A25=1,A26="",A27="",A28="",A29="")),"                                            06 SMC Numbers",IF(OR(AND(A20="",A21=1,A22="",A23="",A24=1,A25=1,A26=1,A27=1,A28=1,A29=""),AND(A20="",A21=1,A22="",A23="",A24=1,A25=1,A26=1,A27=1,A28="",A29=1),AND(A20="",A21=1,A22="",A23="",A24=1,A25=1,A26=1,A27="",A28=1,A29=1),AND(A20=1,A21=1,A22=1,A23=1,A24=1,A25=1,A26="",A27="",A28="",A29=""),AND(A20="",A21=1,A22="",A23=1,A24=1,A25=1,A26=1,A27=1,A28="",A29=""),AND(A20=1,A21=1,A22="",A23="",A24=1,A25=1,A26=1,A27=1,A28="",A29=""),AND(A20=1,A21=1,A22="",A23="",A24=1,A25=1,A26=1,A27="",A28=1,A29=""),AND(A20=1,A21=1,A22="",A23="",A24=1,A25=1,A26=1,A27="",A28="",A29=1),AND(H134="                                            04 Personnel",H143&lt;&gt;"",H144="",H145=""),AND(H134="                                            04 Personnel",H143="",H144="",H145&lt;&gt;"")),"                                            07 SMC Numbers",IF(OR(AND(H134="                                            03 Personnel",H143&lt;&gt;"",H144&lt;&gt;"",H145&lt;&gt;""),AND(H134="                                            05 Personnel",H143&lt;&gt;"",H144="",H145=""),AND(H134="                                            05 Personnel",H143="",H144&lt;&gt;"",H145=""),AND(H134="                                            05 Personnel",H143="",H144="",H145&lt;&gt;""),AND(H134="                                            04 Personnel",H143&lt;&gt;"",H144="",H145&lt;&gt;""),AND(H134="                                            04 Personnel",H143&lt;&gt;"",H144&lt;&gt;"",H145=""),AND(H134="                                            04 Personnel",H143="",H144&lt;&gt;"",H145&lt;&gt;"")),"                                            08 SMC Numbers",IF(OR(AND(H134="                                            04 Personnel",H143&lt;&gt;"",H144&lt;&gt;"",H145&lt;&gt;""),AND(H134="                                            05 Personnel",H143="",H144&lt;&gt;"",H145&lt;&gt;""),AND(H134="                                            05 Personnel",H143&lt;&gt;"",H144&lt;&gt;"",H145=""),AND(H134="                                            05 Personnel",H143&lt;&gt;"",H144="",H145&lt;&gt;""),AND(H134="                                            06 Personnel",H143="",H144="",H145&lt;&gt;""),AND(H134="                                            06 Personnel",H143="",H144&lt;&gt;"",H145=""),AND(H134="                                            06 Personnel",H143&lt;&gt;"",H144="",H145="")),"                                            09 SMC Numbers",IF(OR(AND(A20="",A21=1,A22=1,A23=1,A24=1,A25=1,A26=1,A27=1,A28=1,A29=1),AND(A20=1,A21=1,A22=1,A23="",A24=1,A25=1,A26=1,A27=1,A28=1,A29=1),AND(A20=1,A21=1,A22=1,A23=1,A24=1,A25=1,A26=1,A27=1,A28="",A29=1),AND(A20=1,A21=1,A22="",A23=1,A24=1,A25=1,A26=1,A27=1,A28=1,A29=1),AND(A20=1,A21=1,A22=1,A23=1,A24=1,A25=1,A26=1,A27="",A28=1,A29=1),AND(H134="                                            06 Personnel",H143&lt;&gt;"",H144&lt;&gt;"",H145="")),"                                         10 SMC Numbers",IF(AND(A20=1,A21=1,A22=1,A23=1,A24=1,A25=1,A26=1,A27=1,A28=1,A29=1),"                                            11 SMC Numbers","                                               SMC Numbers"))))))))</f>
        <v xml:space="preserve">                                               SMC Numbers</v>
      </c>
      <c r="I226" s="274"/>
      <c r="J226" s="274"/>
      <c r="K226" s="274"/>
      <c r="L226" s="274"/>
      <c r="M226" s="274"/>
      <c r="N226" s="274"/>
      <c r="S226" s="10"/>
    </row>
    <row r="227" spans="2:19" ht="37.5" customHeight="1" x14ac:dyDescent="0.35">
      <c r="C227" s="9"/>
      <c r="H227" s="306" t="s">
        <v>59</v>
      </c>
      <c r="I227" s="306"/>
      <c r="J227" s="306"/>
      <c r="K227" s="306"/>
      <c r="L227" s="306"/>
      <c r="M227" s="306"/>
      <c r="N227" s="306"/>
      <c r="S227" s="10"/>
    </row>
    <row r="232" spans="2:19" ht="71.25" customHeight="1" x14ac:dyDescent="0.35">
      <c r="C232" s="27"/>
      <c r="D232" s="307" t="s">
        <v>135</v>
      </c>
      <c r="E232" s="307"/>
      <c r="F232" s="307"/>
      <c r="G232" s="307"/>
      <c r="H232" s="307"/>
      <c r="I232" s="307"/>
      <c r="J232" s="307"/>
      <c r="K232" s="307"/>
      <c r="L232" s="307"/>
      <c r="M232" s="12"/>
      <c r="N232" s="12"/>
      <c r="O232" s="308" t="s">
        <v>0</v>
      </c>
      <c r="P232" s="308"/>
      <c r="Q232" s="308"/>
      <c r="R232" s="12"/>
    </row>
    <row r="233" spans="2:19" ht="35.25" customHeight="1" x14ac:dyDescent="0.35">
      <c r="D233" s="307"/>
      <c r="E233" s="307"/>
      <c r="F233" s="307"/>
      <c r="G233" s="307"/>
      <c r="H233" s="307"/>
      <c r="I233" s="307"/>
      <c r="J233" s="307"/>
      <c r="K233" s="307"/>
      <c r="L233" s="307"/>
      <c r="M233" s="57"/>
    </row>
    <row r="234" spans="2:19" ht="23.25" customHeight="1" x14ac:dyDescent="0.35">
      <c r="D234" s="307"/>
      <c r="E234" s="307"/>
      <c r="F234" s="307"/>
      <c r="G234" s="307"/>
      <c r="H234" s="307"/>
      <c r="I234" s="307"/>
      <c r="J234" s="307"/>
      <c r="K234" s="307"/>
      <c r="L234" s="307"/>
      <c r="M234" s="12"/>
      <c r="N234" s="12"/>
      <c r="O234" s="12"/>
      <c r="P234" s="12"/>
      <c r="Q234" s="12"/>
      <c r="R234" s="12"/>
    </row>
    <row r="235" spans="2:19" ht="47.25" customHeight="1" x14ac:dyDescent="0.35">
      <c r="D235" s="307"/>
      <c r="E235" s="307"/>
      <c r="F235" s="307"/>
      <c r="G235" s="307"/>
      <c r="H235" s="307"/>
      <c r="I235" s="307"/>
      <c r="J235" s="307"/>
      <c r="K235" s="307"/>
      <c r="L235" s="307"/>
      <c r="M235" s="12"/>
      <c r="N235" s="12"/>
      <c r="O235" s="12"/>
      <c r="P235" s="12"/>
      <c r="Q235" s="12"/>
      <c r="R235" s="12"/>
    </row>
    <row r="236" spans="2:19" ht="10.5" customHeight="1" x14ac:dyDescent="0.35">
      <c r="B236" s="98"/>
      <c r="C236" s="98"/>
      <c r="D236" s="98"/>
      <c r="E236" s="98"/>
      <c r="F236" s="98"/>
      <c r="G236" s="98"/>
      <c r="H236" s="98"/>
    </row>
    <row r="237" spans="2:19" ht="9" customHeight="1" x14ac:dyDescent="0.35"/>
    <row r="238" spans="2:19" ht="9" customHeight="1" x14ac:dyDescent="0.35"/>
    <row r="239" spans="2:19" ht="29.25" customHeight="1" x14ac:dyDescent="0.35">
      <c r="C239" s="349"/>
      <c r="D239" s="307" t="s">
        <v>61</v>
      </c>
      <c r="E239" s="307"/>
      <c r="F239" s="307"/>
      <c r="G239" s="307"/>
      <c r="H239" s="307"/>
      <c r="I239" s="11"/>
      <c r="J239" s="28"/>
      <c r="K239" s="111" t="s">
        <v>116</v>
      </c>
      <c r="L239" s="58"/>
    </row>
    <row r="240" spans="2:19" ht="33.75" customHeight="1" x14ac:dyDescent="0.35">
      <c r="C240" s="350"/>
      <c r="D240" s="307"/>
      <c r="E240" s="307"/>
      <c r="F240" s="307"/>
      <c r="G240" s="307"/>
      <c r="H240" s="307"/>
      <c r="I240" s="11"/>
      <c r="J240" s="73"/>
      <c r="K240" s="74" t="str">
        <f>IF(J240="", " &lt;=== Select from drop down list","")</f>
        <v xml:space="preserve"> &lt;=== Select from drop down list</v>
      </c>
      <c r="L240" s="59"/>
    </row>
    <row r="241" spans="1:37" x14ac:dyDescent="0.35">
      <c r="D241" s="307"/>
      <c r="E241" s="307"/>
      <c r="F241" s="307"/>
      <c r="G241" s="307"/>
      <c r="H241" s="307"/>
    </row>
    <row r="242" spans="1:37" ht="8.25" customHeight="1" x14ac:dyDescent="0.35"/>
    <row r="243" spans="1:37" ht="10.5" customHeight="1" x14ac:dyDescent="0.35"/>
    <row r="244" spans="1:37" ht="35.25" customHeight="1" x14ac:dyDescent="0.4">
      <c r="B244" s="1" t="s">
        <v>62</v>
      </c>
      <c r="C244" s="1"/>
      <c r="D244" s="1"/>
      <c r="K244" s="2"/>
    </row>
    <row r="245" spans="1:37" ht="18.5" x14ac:dyDescent="0.45">
      <c r="B245" s="61"/>
      <c r="E245" s="57"/>
      <c r="F245" s="57"/>
      <c r="G245" s="57"/>
      <c r="H245" s="62"/>
      <c r="I245" s="62"/>
      <c r="J245" s="62"/>
      <c r="K245" s="63"/>
      <c r="O245" s="111" t="s">
        <v>117</v>
      </c>
      <c r="P245" s="64"/>
    </row>
    <row r="246" spans="1:37" s="28" customFormat="1" ht="141.75" customHeight="1" x14ac:dyDescent="0.35">
      <c r="A246" s="148"/>
      <c r="B246" s="310" t="s">
        <v>244</v>
      </c>
      <c r="C246" s="311"/>
      <c r="D246" s="311"/>
      <c r="E246" s="311"/>
      <c r="F246" s="311"/>
      <c r="G246" s="311"/>
      <c r="H246" s="311"/>
      <c r="I246" s="311"/>
      <c r="J246" s="311"/>
      <c r="K246" s="311"/>
      <c r="L246" s="311"/>
      <c r="M246" s="312"/>
      <c r="N246" s="76"/>
      <c r="O246" s="76"/>
      <c r="P246" s="77"/>
      <c r="Q246" s="78"/>
      <c r="R246" s="78"/>
      <c r="S246" s="78"/>
      <c r="T246" s="78"/>
      <c r="U246" s="78"/>
      <c r="V246" s="78"/>
      <c r="W246" s="78"/>
      <c r="X246" s="78"/>
      <c r="Y246" s="78"/>
      <c r="Z246" s="78"/>
      <c r="AA246" s="78"/>
      <c r="AG246"/>
      <c r="AH246"/>
      <c r="AI246"/>
      <c r="AJ246"/>
      <c r="AK246"/>
    </row>
    <row r="247" spans="1:37" s="28" customFormat="1" ht="79.5" customHeight="1" x14ac:dyDescent="0.3">
      <c r="A247" s="148"/>
      <c r="B247" s="97" t="s">
        <v>84</v>
      </c>
      <c r="C247" s="97"/>
      <c r="D247" s="85" t="s">
        <v>63</v>
      </c>
      <c r="E247" s="347" t="s">
        <v>64</v>
      </c>
      <c r="F247" s="347"/>
      <c r="G247" s="347"/>
      <c r="H247" s="85" t="str">
        <f>IF($F$75="No","N/A","# of semester credit hours")</f>
        <v># of semester credit hours</v>
      </c>
      <c r="I247" s="85" t="s">
        <v>65</v>
      </c>
      <c r="J247" s="85" t="s">
        <v>66</v>
      </c>
      <c r="K247" s="86" t="s">
        <v>67</v>
      </c>
      <c r="L247" s="86" t="s">
        <v>68</v>
      </c>
      <c r="M247" s="86" t="s">
        <v>69</v>
      </c>
      <c r="N247" s="80"/>
      <c r="O247" s="79"/>
      <c r="P247" s="77"/>
      <c r="Q247" s="77"/>
      <c r="R247" s="77"/>
      <c r="S247" s="77"/>
      <c r="T247" s="77"/>
      <c r="U247" s="77"/>
      <c r="V247" s="77"/>
      <c r="W247" s="77"/>
      <c r="X247" s="77"/>
      <c r="Y247" s="77"/>
      <c r="Z247" s="77"/>
      <c r="AA247" s="77"/>
    </row>
    <row r="248" spans="1:37" s="28" customFormat="1" ht="14" x14ac:dyDescent="0.3">
      <c r="A248" s="148"/>
      <c r="B248" s="93">
        <v>1</v>
      </c>
      <c r="C248" s="93"/>
      <c r="D248" s="75"/>
      <c r="E248" s="348"/>
      <c r="F248" s="348"/>
      <c r="G248" s="348"/>
      <c r="H248" s="75"/>
      <c r="I248" s="75"/>
      <c r="J248" s="75"/>
      <c r="K248" s="75"/>
      <c r="L248" s="75"/>
      <c r="M248" s="75"/>
      <c r="N248" s="80"/>
      <c r="P248" s="77"/>
    </row>
    <row r="249" spans="1:37" s="28" customFormat="1" ht="14" x14ac:dyDescent="0.3">
      <c r="A249" s="148"/>
      <c r="B249" s="93">
        <v>2</v>
      </c>
      <c r="C249" s="93"/>
      <c r="D249" s="75"/>
      <c r="E249" s="329"/>
      <c r="F249" s="330"/>
      <c r="G249" s="331"/>
      <c r="H249" s="75"/>
      <c r="I249" s="75"/>
      <c r="J249" s="75"/>
      <c r="K249" s="75"/>
      <c r="L249" s="75"/>
      <c r="M249" s="75"/>
      <c r="N249" s="80"/>
    </row>
    <row r="250" spans="1:37" s="28" customFormat="1" ht="14" x14ac:dyDescent="0.3">
      <c r="A250" s="148"/>
      <c r="B250" s="93">
        <v>3</v>
      </c>
      <c r="C250" s="93"/>
      <c r="D250" s="75"/>
      <c r="E250" s="329"/>
      <c r="F250" s="330"/>
      <c r="G250" s="331"/>
      <c r="H250" s="75"/>
      <c r="I250" s="75"/>
      <c r="J250" s="75"/>
      <c r="K250" s="75"/>
      <c r="L250" s="75"/>
      <c r="M250" s="75"/>
      <c r="N250" s="80"/>
    </row>
    <row r="251" spans="1:37" s="28" customFormat="1" ht="14" x14ac:dyDescent="0.3">
      <c r="A251" s="148"/>
      <c r="B251" s="93">
        <v>4</v>
      </c>
      <c r="C251" s="93"/>
      <c r="D251" s="75"/>
      <c r="E251" s="329"/>
      <c r="F251" s="330"/>
      <c r="G251" s="331"/>
      <c r="H251" s="75"/>
      <c r="I251" s="75"/>
      <c r="J251" s="75"/>
      <c r="K251" s="75"/>
      <c r="L251" s="75"/>
      <c r="M251" s="75"/>
      <c r="N251" s="80"/>
    </row>
    <row r="252" spans="1:37" s="28" customFormat="1" ht="14" x14ac:dyDescent="0.3">
      <c r="A252" s="148"/>
      <c r="B252" s="93">
        <v>5</v>
      </c>
      <c r="C252" s="93"/>
      <c r="D252" s="75"/>
      <c r="E252" s="329"/>
      <c r="F252" s="330"/>
      <c r="G252" s="331"/>
      <c r="H252" s="75"/>
      <c r="I252" s="75"/>
      <c r="J252" s="75"/>
      <c r="K252" s="75"/>
      <c r="L252" s="75"/>
      <c r="M252" s="75"/>
      <c r="N252" s="80"/>
    </row>
    <row r="253" spans="1:37" s="28" customFormat="1" ht="14" x14ac:dyDescent="0.3">
      <c r="A253" s="148"/>
      <c r="B253" s="93">
        <v>6</v>
      </c>
      <c r="C253" s="93"/>
      <c r="D253" s="75"/>
      <c r="E253" s="329"/>
      <c r="F253" s="330"/>
      <c r="G253" s="331"/>
      <c r="H253" s="75"/>
      <c r="I253" s="75"/>
      <c r="J253" s="75"/>
      <c r="K253" s="75"/>
      <c r="L253" s="75"/>
      <c r="M253" s="75"/>
      <c r="N253" s="80"/>
    </row>
    <row r="254" spans="1:37" s="28" customFormat="1" ht="14" x14ac:dyDescent="0.3">
      <c r="A254" s="148"/>
      <c r="B254" s="93">
        <v>7</v>
      </c>
      <c r="C254" s="93"/>
      <c r="D254" s="75"/>
      <c r="E254" s="329"/>
      <c r="F254" s="330"/>
      <c r="G254" s="331"/>
      <c r="H254" s="75"/>
      <c r="I254" s="75"/>
      <c r="J254" s="75"/>
      <c r="K254" s="75"/>
      <c r="L254" s="75"/>
      <c r="M254" s="75"/>
      <c r="N254" s="80"/>
    </row>
    <row r="255" spans="1:37" s="28" customFormat="1" ht="14" x14ac:dyDescent="0.3">
      <c r="A255" s="148"/>
      <c r="B255" s="93">
        <v>8</v>
      </c>
      <c r="C255" s="93"/>
      <c r="D255" s="75"/>
      <c r="E255" s="329"/>
      <c r="F255" s="330"/>
      <c r="G255" s="331"/>
      <c r="H255" s="75"/>
      <c r="I255" s="75"/>
      <c r="J255" s="75"/>
      <c r="K255" s="75"/>
      <c r="L255" s="75"/>
      <c r="M255" s="75"/>
      <c r="N255" s="80"/>
    </row>
    <row r="256" spans="1:37" s="28" customFormat="1" ht="14" x14ac:dyDescent="0.3">
      <c r="A256" s="148"/>
      <c r="B256" s="93">
        <v>9</v>
      </c>
      <c r="C256" s="93"/>
      <c r="D256" s="75"/>
      <c r="E256" s="329"/>
      <c r="F256" s="330"/>
      <c r="G256" s="331"/>
      <c r="H256" s="75"/>
      <c r="I256" s="75"/>
      <c r="J256" s="75"/>
      <c r="K256" s="75"/>
      <c r="L256" s="75"/>
      <c r="M256" s="75"/>
      <c r="N256" s="80"/>
    </row>
    <row r="257" spans="1:37" s="28" customFormat="1" ht="14" x14ac:dyDescent="0.3">
      <c r="A257" s="148"/>
      <c r="B257" s="93">
        <v>10</v>
      </c>
      <c r="C257" s="93"/>
      <c r="D257" s="75"/>
      <c r="E257" s="329"/>
      <c r="F257" s="330"/>
      <c r="G257" s="331"/>
      <c r="H257" s="75"/>
      <c r="I257" s="75"/>
      <c r="J257" s="75"/>
      <c r="K257" s="75"/>
      <c r="L257" s="75"/>
      <c r="M257" s="75"/>
      <c r="N257" s="80"/>
    </row>
    <row r="258" spans="1:37" s="28" customFormat="1" ht="48.65" customHeight="1" x14ac:dyDescent="0.3">
      <c r="A258" s="148"/>
      <c r="B258" s="94" t="s">
        <v>70</v>
      </c>
      <c r="C258" s="95"/>
      <c r="D258" s="95"/>
      <c r="E258" s="95"/>
      <c r="F258" s="95"/>
      <c r="G258" s="96"/>
      <c r="H258" s="81">
        <f t="shared" ref="H258:M258" si="0">SUM(H248:H257)</f>
        <v>0</v>
      </c>
      <c r="I258" s="81">
        <f t="shared" si="0"/>
        <v>0</v>
      </c>
      <c r="J258" s="81">
        <f t="shared" si="0"/>
        <v>0</v>
      </c>
      <c r="K258" s="81">
        <f t="shared" si="0"/>
        <v>0</v>
      </c>
      <c r="L258" s="81">
        <f t="shared" si="0"/>
        <v>0</v>
      </c>
      <c r="M258" s="81">
        <f t="shared" si="0"/>
        <v>0</v>
      </c>
      <c r="N258" s="332" t="str">
        <f>IF(AND(OR(D248&lt;&gt;"",D249&lt;&gt;"",D250&lt;&gt;"",D251&lt;&gt;"",D252&lt;&gt;"",D253&lt;&gt;"",D254&lt;&gt;"",D255&lt;&gt;"",D256&lt;&gt;"",D257&lt;&gt;""),AND(OR(H258=0, I258=0,J258=0,K258=0,L258=0,M258=0))),"&lt;=== There should be clock hours provided for each phase of the program 
          (didactic, clinical, laboratory, field experience, and capstone field 
          internship).  All columns (H to M) must contain a number","")</f>
        <v/>
      </c>
      <c r="O258" s="332"/>
      <c r="P258" s="332"/>
      <c r="Q258" s="332"/>
      <c r="R258" s="332"/>
      <c r="S258" s="332"/>
      <c r="T258" s="332"/>
    </row>
    <row r="259" spans="1:37" s="28" customFormat="1" ht="20" x14ac:dyDescent="0.3">
      <c r="A259" s="148"/>
      <c r="E259" s="82" t="s">
        <v>71</v>
      </c>
      <c r="F259" s="83">
        <f>COUNTA(D248:D257)</f>
        <v>0</v>
      </c>
      <c r="I259" s="333" t="s">
        <v>72</v>
      </c>
      <c r="J259" s="334"/>
      <c r="K259" s="334"/>
      <c r="L259" s="335"/>
      <c r="M259" s="84">
        <f>SUM(I258:M258)</f>
        <v>0</v>
      </c>
    </row>
    <row r="260" spans="1:37" ht="34.5" customHeight="1" x14ac:dyDescent="0.45">
      <c r="B260" s="61"/>
      <c r="C260" s="66"/>
      <c r="D260" s="66"/>
      <c r="E260" s="66"/>
      <c r="F260" s="66"/>
      <c r="G260" s="66"/>
      <c r="H260" s="67"/>
      <c r="I260" s="67"/>
      <c r="J260" s="67"/>
      <c r="K260" s="67"/>
      <c r="L260" s="67"/>
      <c r="M260" s="67"/>
      <c r="O260" s="336"/>
      <c r="P260" s="337"/>
      <c r="Q260" s="337"/>
      <c r="R260" s="337"/>
      <c r="S260" s="337"/>
      <c r="T260" s="337"/>
      <c r="U260" s="337"/>
      <c r="V260" s="337"/>
      <c r="W260" s="337"/>
      <c r="X260" s="337"/>
      <c r="Y260" s="337"/>
      <c r="Z260" s="337"/>
      <c r="AA260" s="337"/>
      <c r="AG260" s="28"/>
      <c r="AH260" s="28"/>
      <c r="AI260" s="28"/>
      <c r="AJ260" s="28"/>
      <c r="AK260" s="28"/>
    </row>
    <row r="261" spans="1:37" ht="57.75" customHeight="1" x14ac:dyDescent="0.35">
      <c r="B261" s="302" t="s">
        <v>85</v>
      </c>
      <c r="C261" s="303"/>
      <c r="D261" s="303"/>
      <c r="E261" s="303"/>
      <c r="F261" s="303"/>
      <c r="G261" s="303"/>
      <c r="H261" s="304"/>
      <c r="I261" s="65"/>
      <c r="J261" s="65"/>
      <c r="K261" s="65"/>
      <c r="L261" s="65"/>
      <c r="M261" s="65"/>
      <c r="N261" s="65"/>
      <c r="O261" s="336"/>
      <c r="P261" s="337"/>
      <c r="Q261" s="337"/>
      <c r="R261" s="337"/>
      <c r="S261" s="337"/>
      <c r="T261" s="337"/>
      <c r="U261" s="337"/>
      <c r="V261" s="337"/>
      <c r="W261" s="337"/>
      <c r="X261" s="337"/>
      <c r="Y261" s="337"/>
      <c r="Z261" s="337"/>
      <c r="AA261" s="337"/>
    </row>
    <row r="262" spans="1:37" ht="28" x14ac:dyDescent="0.35">
      <c r="B262" s="387" t="s">
        <v>73</v>
      </c>
      <c r="C262" s="388"/>
      <c r="D262" s="87" t="s">
        <v>74</v>
      </c>
      <c r="E262" s="342" t="s">
        <v>64</v>
      </c>
      <c r="F262" s="342"/>
      <c r="G262" s="342"/>
      <c r="H262" s="87" t="s">
        <v>75</v>
      </c>
      <c r="I262" s="68"/>
      <c r="J262" s="68"/>
      <c r="K262" s="68"/>
      <c r="L262" s="68"/>
      <c r="M262" s="68"/>
    </row>
    <row r="263" spans="1:37" x14ac:dyDescent="0.35">
      <c r="B263" s="385"/>
      <c r="C263" s="386"/>
      <c r="D263" s="88"/>
      <c r="E263" s="339"/>
      <c r="F263" s="340"/>
      <c r="G263" s="341"/>
      <c r="H263" s="88"/>
      <c r="I263" s="204"/>
      <c r="J263" s="204"/>
      <c r="K263" s="204"/>
      <c r="L263" s="204"/>
      <c r="M263" s="204"/>
      <c r="N263" s="65"/>
    </row>
    <row r="264" spans="1:37" x14ac:dyDescent="0.35">
      <c r="B264" s="385"/>
      <c r="C264" s="386"/>
      <c r="D264" s="88"/>
      <c r="E264" s="339"/>
      <c r="F264" s="340"/>
      <c r="G264" s="341"/>
      <c r="H264" s="88"/>
      <c r="I264" s="204"/>
      <c r="J264" s="204"/>
      <c r="K264" s="204"/>
      <c r="L264" s="204"/>
      <c r="M264" s="204"/>
      <c r="N264" s="65"/>
    </row>
    <row r="265" spans="1:37" x14ac:dyDescent="0.35">
      <c r="B265" s="385"/>
      <c r="C265" s="386"/>
      <c r="D265" s="88"/>
      <c r="E265" s="339"/>
      <c r="F265" s="340"/>
      <c r="G265" s="341"/>
      <c r="H265" s="88"/>
      <c r="I265" s="204"/>
      <c r="J265" s="204"/>
      <c r="K265" s="204"/>
      <c r="L265" s="204"/>
      <c r="M265" s="204"/>
      <c r="N265" s="65"/>
    </row>
    <row r="266" spans="1:37" x14ac:dyDescent="0.35">
      <c r="B266" s="385"/>
      <c r="C266" s="386"/>
      <c r="D266" s="88"/>
      <c r="E266" s="339"/>
      <c r="F266" s="340"/>
      <c r="G266" s="341"/>
      <c r="H266" s="88"/>
      <c r="I266" s="204"/>
      <c r="J266" s="204"/>
      <c r="K266" s="204"/>
      <c r="L266" s="204"/>
      <c r="M266" s="204"/>
      <c r="N266" s="65"/>
    </row>
    <row r="267" spans="1:37" x14ac:dyDescent="0.35">
      <c r="B267" s="385"/>
      <c r="C267" s="386"/>
      <c r="D267" s="88"/>
      <c r="E267" s="339"/>
      <c r="F267" s="340"/>
      <c r="G267" s="341"/>
      <c r="H267" s="88"/>
      <c r="I267" s="204"/>
      <c r="J267" s="204"/>
      <c r="K267" s="204"/>
      <c r="L267" s="204"/>
      <c r="M267" s="204"/>
      <c r="N267" s="65"/>
    </row>
    <row r="268" spans="1:37" x14ac:dyDescent="0.35">
      <c r="B268" s="385"/>
      <c r="C268" s="386"/>
      <c r="D268" s="88"/>
      <c r="E268" s="339"/>
      <c r="F268" s="340"/>
      <c r="G268" s="341"/>
      <c r="H268" s="88"/>
      <c r="I268" s="204"/>
      <c r="J268" s="204"/>
      <c r="K268" s="204"/>
      <c r="L268" s="204"/>
      <c r="M268" s="204"/>
      <c r="N268" s="65"/>
    </row>
    <row r="269" spans="1:37" x14ac:dyDescent="0.35">
      <c r="B269" s="385"/>
      <c r="C269" s="386"/>
      <c r="D269" s="88"/>
      <c r="E269" s="339"/>
      <c r="F269" s="340"/>
      <c r="G269" s="341"/>
      <c r="H269" s="88"/>
      <c r="I269" s="204"/>
      <c r="J269" s="204"/>
      <c r="K269" s="204"/>
      <c r="L269" s="204"/>
      <c r="M269" s="204"/>
      <c r="N269" s="65"/>
    </row>
    <row r="270" spans="1:37" x14ac:dyDescent="0.35">
      <c r="B270" s="385"/>
      <c r="C270" s="386"/>
      <c r="D270" s="88"/>
      <c r="E270" s="339"/>
      <c r="F270" s="340"/>
      <c r="G270" s="341"/>
      <c r="H270" s="88"/>
      <c r="I270" s="204"/>
      <c r="J270" s="204"/>
      <c r="K270" s="204"/>
      <c r="L270" s="204"/>
      <c r="M270" s="204"/>
      <c r="N270" s="65"/>
    </row>
    <row r="271" spans="1:37" x14ac:dyDescent="0.35">
      <c r="B271" s="385"/>
      <c r="C271" s="386"/>
      <c r="D271" s="88"/>
      <c r="E271" s="339"/>
      <c r="F271" s="340"/>
      <c r="G271" s="341"/>
      <c r="H271" s="88"/>
      <c r="I271" s="204"/>
      <c r="J271" s="204"/>
      <c r="K271" s="204"/>
      <c r="L271" s="204"/>
      <c r="M271" s="204"/>
      <c r="N271" s="65"/>
    </row>
    <row r="272" spans="1:37" x14ac:dyDescent="0.35">
      <c r="B272" s="385"/>
      <c r="C272" s="386"/>
      <c r="D272" s="88"/>
      <c r="E272" s="339"/>
      <c r="F272" s="340"/>
      <c r="G272" s="341"/>
      <c r="H272" s="88"/>
      <c r="I272" s="204"/>
      <c r="J272" s="204"/>
      <c r="K272" s="204"/>
      <c r="L272" s="204"/>
      <c r="M272" s="204"/>
      <c r="N272" s="65"/>
    </row>
    <row r="273" spans="1:22" ht="21" customHeight="1" x14ac:dyDescent="0.35">
      <c r="B273" s="28"/>
      <c r="C273" s="28"/>
      <c r="D273" s="28"/>
      <c r="E273" s="82" t="s">
        <v>71</v>
      </c>
      <c r="F273" s="83">
        <f>COUNTA(D263:D272)</f>
        <v>0</v>
      </c>
      <c r="G273" s="28"/>
      <c r="H273" s="83">
        <f>SUM(H263:H272)+H258</f>
        <v>0</v>
      </c>
      <c r="I273" s="69"/>
      <c r="J273" s="69"/>
      <c r="K273" s="69"/>
      <c r="L273" s="69"/>
      <c r="M273" s="69"/>
    </row>
    <row r="275" spans="1:22" ht="50.25" customHeight="1" x14ac:dyDescent="0.35">
      <c r="B275" s="15" t="s">
        <v>76</v>
      </c>
      <c r="D275" s="70"/>
    </row>
    <row r="276" spans="1:22" ht="177" customHeight="1" x14ac:dyDescent="0.35">
      <c r="B276" s="343"/>
      <c r="C276" s="344"/>
      <c r="D276" s="344"/>
      <c r="E276" s="344"/>
      <c r="F276" s="344"/>
      <c r="G276" s="344"/>
      <c r="H276" s="344"/>
      <c r="I276" s="344"/>
      <c r="J276" s="344"/>
      <c r="K276" s="344"/>
      <c r="L276" s="344"/>
      <c r="M276" s="345"/>
    </row>
    <row r="277" spans="1:22" ht="33" customHeight="1" x14ac:dyDescent="0.35"/>
    <row r="278" spans="1:22" ht="10.5" customHeight="1" x14ac:dyDescent="0.35"/>
    <row r="279" spans="1:22" ht="41.25" customHeight="1" x14ac:dyDescent="0.35">
      <c r="B279" s="60" t="s">
        <v>77</v>
      </c>
      <c r="C279" s="60"/>
      <c r="D279" s="111" t="s">
        <v>116</v>
      </c>
      <c r="E279" s="5"/>
      <c r="O279" s="309" t="s">
        <v>92</v>
      </c>
      <c r="P279" s="309"/>
      <c r="Q279" s="309"/>
      <c r="R279" s="338" t="s">
        <v>78</v>
      </c>
      <c r="S279" s="338"/>
      <c r="T279" s="338"/>
      <c r="U279" s="338"/>
      <c r="V279" s="338"/>
    </row>
    <row r="280" spans="1:22" ht="192" customHeight="1" x14ac:dyDescent="0.35">
      <c r="C280" s="90"/>
      <c r="D280" s="307" t="s">
        <v>79</v>
      </c>
      <c r="E280" s="307"/>
      <c r="F280" s="307"/>
      <c r="G280" s="307"/>
      <c r="H280" s="307"/>
      <c r="I280" s="307"/>
      <c r="J280" s="307"/>
      <c r="K280" s="307"/>
      <c r="L280" s="307"/>
      <c r="M280" s="12"/>
      <c r="N280" s="12"/>
      <c r="O280" s="308" t="s">
        <v>0</v>
      </c>
      <c r="P280" s="308"/>
      <c r="Q280" s="308"/>
      <c r="R280" s="12"/>
    </row>
    <row r="281" spans="1:22" ht="39.75" customHeight="1" x14ac:dyDescent="0.35">
      <c r="B281" s="16"/>
      <c r="D281" s="283" t="s">
        <v>54</v>
      </c>
      <c r="E281" s="283"/>
      <c r="F281" s="283"/>
      <c r="G281" s="283"/>
      <c r="H281" s="283"/>
      <c r="I281" s="283"/>
      <c r="J281" s="283"/>
    </row>
    <row r="282" spans="1:22" ht="65.25" customHeight="1" x14ac:dyDescent="0.35">
      <c r="A282" s="45" t="str">
        <f>IF(D248&lt;&gt;"",1,"")</f>
        <v/>
      </c>
      <c r="C282" s="9"/>
      <c r="D282" s="360" t="s">
        <v>86</v>
      </c>
      <c r="E282" s="360"/>
      <c r="F282" s="360"/>
      <c r="G282" s="360"/>
      <c r="H282" s="360"/>
      <c r="I282" s="360"/>
      <c r="J282" s="360"/>
      <c r="K282" s="360"/>
      <c r="L282" s="360"/>
      <c r="M282" s="360"/>
      <c r="N282" s="360"/>
      <c r="O282" s="360"/>
      <c r="S282" s="10"/>
    </row>
    <row r="283" spans="1:22" ht="27" customHeight="1" x14ac:dyDescent="0.35">
      <c r="C283" s="9"/>
      <c r="H283" s="274" t="s">
        <v>80</v>
      </c>
      <c r="I283" s="274"/>
      <c r="J283" s="274"/>
      <c r="K283" s="274"/>
      <c r="L283" s="274"/>
      <c r="M283" s="274"/>
      <c r="N283" s="274"/>
      <c r="S283" s="10"/>
    </row>
    <row r="284" spans="1:22" ht="30.75" customHeight="1" x14ac:dyDescent="0.35">
      <c r="C284" s="9"/>
      <c r="D284" s="9"/>
      <c r="H284" s="274" t="str">
        <f>IF(AND(A20=1,A21=1,A22=1,J46="Yes",F259=0),"                                               No Courses Listed",IF(AND(H226="                                            04 SMC Numbers",F259=1),"                                            05 Syllabus",IF(AND(H226="                                            04 SMC Numbers",F259&gt;=2),"                                            05 Syllabus 01",IF(AND(H226="                                            05 SMC Numbers",F259=1),"                                            06 Syllabus",IF(AND(H226="                                            05 SMC Numbers",F259&gt;=2),"                                            06 Syllabus 01",IF(AND(H226="                                            06 SMC Numbers",F259=1),"                                            07 Syllabus",IF(AND(H226="                                            06 SMC Numbers",F259&gt;=2),"                                            07 Syllabus 01",IF(AND(H226="                                            07 SMC Numbers",F259=1),"                                            08 Syllabus",IF(AND(H226="                                            07 SMC Numbers",F259&gt;=2),"                                            08 Syllabus 01",IF(AND(H226="                                            08 SMC Numbers",F259=1),"                                            09 Syllabus",IF(AND(H226="                                            08 SMC Numbers",F259&gt;=1),"                                            09 Syllabus 01",IF(AND(H226="                                            09 SMC Numbers",F259=1),"                                            10 Syllabus",IF(AND(H226="                                            09 SMC Numbers",F259&gt;=1),"                                            10 Syllabus 01",IF(AND(H226="                                         10 SMC Numbers",F259=1),"                                            11 Syllabus",IF(AND(H226="                                         10 SMC Numbers",F259&gt;=2),"                                            11 Syllabus 01",IF(AND(H226="                                            11 SMC Numbers",F259=1),"                                            12 Syllabus",IF(AND(H226="                                            11 SMC Numbers",F259&gt;=2),"                                            12 Syllabus 01","                                            Syllabi")))))))))))))))))</f>
        <v xml:space="preserve">                                            Syllabi</v>
      </c>
      <c r="I284" s="274"/>
      <c r="J284" s="274"/>
      <c r="K284" s="274"/>
      <c r="L284" s="274"/>
      <c r="M284" s="274"/>
      <c r="N284" s="274"/>
      <c r="S284" s="10"/>
    </row>
    <row r="285" spans="1:22" ht="29.25" customHeight="1" x14ac:dyDescent="0.35">
      <c r="C285" s="9"/>
      <c r="E285" s="361"/>
      <c r="F285" s="361"/>
      <c r="G285" s="361"/>
      <c r="H285" s="274" t="str">
        <f>IF(AND(H284="                                            05 Syllabus 01",F259&gt;=2),"                                            05 Syllabus 02",IF(AND(H284="                                            06 Syllabus 01",F259&gt;=2),"                                            06 Syllabus 02",IF(AND(H284="                                            07 Syllabus 01",F259&gt;=2),"                                            07 Syllabus 02",IF(AND(H284="                                            08 Syllabus 01",F259&gt;=2),"                                            08 Syllabus 02",IF(AND(H284="                                            09 Syllabus 01",F259&gt;=2),"                                            09 Syllabus 02",IF(AND(H284="                                            10 Syllabus 01",F259&gt;=2),"                                            10 Syllabus 02",IF(AND(H284="                                            11 Syllabus 01",F259&gt;=2),"                                            11 Syllabus 02",IF(AND(H284="                                            12 Syllabus 01",F259&gt;=2),"                                            12 Syllabus 02",""))))))))</f>
        <v/>
      </c>
      <c r="I285" s="274"/>
      <c r="J285" s="274"/>
      <c r="K285" s="274"/>
      <c r="L285" s="274"/>
      <c r="M285" s="274"/>
      <c r="N285" s="274"/>
      <c r="S285" s="10"/>
    </row>
    <row r="286" spans="1:22" ht="27" customHeight="1" x14ac:dyDescent="0.35">
      <c r="C286" s="9"/>
      <c r="H286" s="274" t="str">
        <f>IF(AND(H284="                                            05 Syllabus 01",F259&gt;=3),"                                            05 Syllabus 03",IF(AND(H284="                                            06 Syllabus 01",F259&gt;=3),"                                            06 Syllabus 03",IF(AND(H284="                                            07 Syllabus 01",F259&gt;=3),"                                            07 Syllabus 03",IF(AND(H284="                                            08 Syllabus 01",F259&gt;=3),"                                            08 Syllabus 03",IF(AND(H284="                                            09 Syllabus 01",F259&gt;=3),"                                            09 Syllabus 03",IF(AND(H284="                                            10 Syllabus 01",F259&gt;=3),"                                            10 Syllabus 03",IF(AND(H284="                                            11 Syllabus 01",F259&gt;=3),"                                            11 Syllabus 03",IF(AND(H284="                                            12 Syllabus 01",F259&gt;=3),"                                            12 Syllabus 03",""))))))))</f>
        <v/>
      </c>
      <c r="I286" s="274"/>
      <c r="J286" s="274"/>
      <c r="K286" s="274"/>
      <c r="L286" s="274"/>
      <c r="M286" s="274"/>
      <c r="N286" s="274"/>
      <c r="S286" s="10"/>
    </row>
    <row r="287" spans="1:22" ht="27" customHeight="1" x14ac:dyDescent="0.35">
      <c r="C287" s="9"/>
      <c r="H287" s="274" t="str">
        <f>IF(AND(H284="                                            05 Syllabus 01",F259&gt;=4),"                                            05 Syllabus 04",IF(AND(H284="                                            06 Syllabus 01",F259&gt;=4),"                                            06 Syllabus 04",IF(AND(H284="                                            07 Syllabus 01",F259&gt;=4),"                                            07 Syllabus 04",IF(AND(H284="                                            08 Syllabus 01",F259&gt;=4),"                                            08 Syllabus 04",IF(AND(H284="                                            09 Syllabus 01",F259&gt;=4),"                                            09 Syllabus 04",IF(AND(H284="                                            10 Syllabus 01",F259&gt;=4),"                                            10 Syllabus 04",IF(AND(H284="                                            11 Syllabus 01",F259&gt;=4),"                                            11 Syllabus 04",IF(AND(H284="                                            12 Syllabus 01",F259&gt;=4),"                                            12 Syllabus 04",""))))))))</f>
        <v/>
      </c>
      <c r="I287" s="274"/>
      <c r="J287" s="274"/>
      <c r="K287" s="274"/>
      <c r="L287" s="274"/>
      <c r="M287" s="274"/>
      <c r="N287" s="274"/>
      <c r="S287" s="10"/>
    </row>
    <row r="288" spans="1:22" ht="27" customHeight="1" x14ac:dyDescent="0.35">
      <c r="C288" s="9"/>
      <c r="H288" s="274" t="str">
        <f>IF(AND(H284="                                            05 Syllabus 01",F259&gt;=5),"                                            05 Syllabus 05",IF(AND(H284="                                            06 Syllabus 01",F259&gt;=5),"                                            06 Syllabus 05",IF(AND(H284="                                            07 Syllabus 01",F259&gt;=5),"                                            07 Syllabus 05",IF(AND(H284="                                            08 Syllabus 01",F259&gt;=5),"                                            08 Syllabus 05",IF(AND(H284="                                            09 Syllabus 01",F259&gt;=5),"                                            09 Syllabus 05",IF(AND(H284="                                            10 Syllabus 01",F259&gt;=5),"                                            10 Syllabus 05",IF(AND(H284="                                            11 Syllabus 01",F259&gt;=5),"                                            11 Syllabus 05",IF(AND(H284="                                            12 Syllabus 01",F259&gt;=5),"                                            12 Syllabus 05",""))))))))</f>
        <v/>
      </c>
      <c r="I288" s="274"/>
      <c r="J288" s="274"/>
      <c r="K288" s="274"/>
      <c r="L288" s="274"/>
      <c r="M288" s="274"/>
      <c r="N288" s="274"/>
      <c r="S288" s="10"/>
    </row>
    <row r="289" spans="2:19" ht="27" customHeight="1" x14ac:dyDescent="0.35">
      <c r="C289" s="9"/>
      <c r="H289" s="274" t="str">
        <f>IF(AND(H284="                                            05 Syllabus 01",F259&gt;=6),"                                            05 Syllabus 06",IF(AND(H284="                                            06 Syllabus 01",F259&gt;=6),"                                            06 Syllabus 06",IF(AND(H284="                                            07 Syllabus 01",F259&gt;=6),"                                            07 Syllabus 06",IF(AND(H284="                                            08 Syllabus 01",F259&gt;=6),"                                            08 Syllabus 06",IF(AND(H284="                                            09 Syllabus 01",F259&gt;=6),"                                            09 Syllabus 06",IF(AND(H284="                                            10 Syllabus 01",F259&gt;=6),"                                            10 Syllabus 06",IF(AND(H284="                                            11 Syllabus 01",F259&gt;=6),"                                            11 Syllabus 06",IF(AND(H284="                                            12 Syllabus 01",F259&gt;=6),"                                            12 Syllabus 06",""))))))))</f>
        <v/>
      </c>
      <c r="I289" s="274"/>
      <c r="J289" s="274"/>
      <c r="K289" s="274"/>
      <c r="L289" s="274"/>
      <c r="M289" s="274"/>
      <c r="N289" s="274"/>
      <c r="S289" s="10"/>
    </row>
    <row r="290" spans="2:19" ht="27" customHeight="1" x14ac:dyDescent="0.35">
      <c r="C290" s="9"/>
      <c r="H290" s="274" t="str">
        <f>IF(AND(H284="                                            05 Syllabus 01",F259&gt;=7),"                                            05 Syllabus 07",IF(AND(H284="                                            06 Syllabus 01",F259&gt;=7),"                                            06 Syllabus 07",IF(AND(H284="                                            07 Syllabus 01",F259&gt;=7),"                                            07 Syllabus 07",IF(AND(H284="                                            08 Syllabus 01",F259&gt;=7),"                                            08 Syllabus 07",IF(AND(H284="                                            09 Syllabus 01",F259&gt;=7),"                                            09 Syllabus 07",IF(AND(H284="                                            10 Syllabus 01",F259&gt;=7),"                                            10 Syllabus 07",IF(AND(H284="                                            11 Syllabus 01",F259&gt;=7),"                                            11 Syllabus 07",IF(AND(H284="                                            12 Syllabus 01",F259&gt;=7),"                                            12 Syllabus 07",""))))))))</f>
        <v/>
      </c>
      <c r="I290" s="274"/>
      <c r="J290" s="274"/>
      <c r="K290" s="274"/>
      <c r="L290" s="274"/>
      <c r="M290" s="274"/>
      <c r="N290" s="274"/>
      <c r="S290" s="10"/>
    </row>
    <row r="291" spans="2:19" ht="27" customHeight="1" x14ac:dyDescent="0.35">
      <c r="C291" s="9"/>
      <c r="H291" s="362" t="str">
        <f>IF(AND(H284="                                            05 Syllabus 01",F259&gt;=8),"                                            05 Syllabus 08",IF(AND(H284="                                            06 Syllabus 01",F259&gt;=8),"                                            06 Syllabus 08",IF(AND(H284="                                            07 Syllabus 01",F259&gt;=8),"                                            07 Syllabus 08",IF(AND(H284="                                            08 Syllabus 01",F259&gt;=8),"                                            08 Syllabus 08",IF(AND(H284="                                            09 Syllabus 01",F259&gt;=8),"                                            09 Syllabus 08",IF(AND(H284="                                            10 Syllabus 01",F259&gt;=8),"                                            10 Syllabus 08",IF(AND(H284="                                            11 Syllabus 01",F259&gt;=8),"                                            11 Syllabus 08",IF(AND(H284="                                            12 Syllabus 01",F259&gt;=8),"                                            12 Syllabus 08",""))))))))</f>
        <v/>
      </c>
      <c r="I291" s="362"/>
      <c r="J291" s="362"/>
      <c r="K291" s="362"/>
      <c r="L291" s="362"/>
      <c r="M291" s="362"/>
      <c r="N291" s="362"/>
      <c r="S291" s="10"/>
    </row>
    <row r="292" spans="2:19" ht="27" customHeight="1" x14ac:dyDescent="0.35">
      <c r="C292" s="9"/>
      <c r="H292" s="362" t="str">
        <f>IF(AND(H284="                                            05 Syllabus 01",F259&gt;=9),"                                            05 Syllabus 09",IF(AND(H284="                                            06 Syllabus 01",F259&gt;=9),"                                            06 Syllabus 09",IF(AND(H284="                                            07 Syllabus 01",F259&gt;=9),"                                            07 Syllabus 09",IF(AND(H284="                                            08 Syllabus 01",F259&gt;=9),"                                            08 Syllabus 09",IF(AND(H284="                                            09 Syllabus 01",F259&gt;=9),"                                            09 Syllabus 09",IF(AND(H284="                                            10 Syllabus 01",F259&gt;=9),"                                            10 Syllabus 09",IF(AND(H284="                                            11 Syllabus 01",F259&gt;=9),"                                            11 Syllabus 09",IF(AND(H284="                                            12 Syllabus 01",F259&gt;=9),"                                            12 Syllabus 09",""))))))))</f>
        <v/>
      </c>
      <c r="I292" s="362"/>
      <c r="J292" s="362"/>
      <c r="K292" s="362"/>
      <c r="L292" s="362"/>
      <c r="M292" s="362"/>
      <c r="N292" s="362"/>
      <c r="S292" s="10"/>
    </row>
    <row r="293" spans="2:19" ht="27" customHeight="1" x14ac:dyDescent="0.35">
      <c r="C293" s="9"/>
      <c r="H293" s="362" t="str">
        <f>IF(AND(H284="                                            05 Syllabus 01",F259&gt;=10),"                                            05 Syllabus 10",IF(AND(H284="                                            06 Syllabus 01",F259&gt;=10),"                                            06 Syllabus 10",IF(AND(H284="                                            07 Syllabus 01",F259&gt;=10),"                                            07 Syllabus 10",IF(AND(H284="                                            08 Syllabus 01",F259&gt;=10),"                                            08 Syllabus 10",IF(AND(H284="                                            09 Syllabus 01",F259&gt;=10),"                                            09 Syllabus 10",IF(AND(H284="                                            10 Syllabus 01",F259&gt;=10),"                                            10 Syllabus 10",IF(AND(H284="                                            11 Syllabus 01",F259&gt;=10),"                                            11 Syllabus 10",IF(AND(H284="                                            12 Syllabus 01",F259&gt;=10),"                                            12 Syllabus 10",""))))))))</f>
        <v/>
      </c>
      <c r="I293" s="362"/>
      <c r="J293" s="362"/>
      <c r="K293" s="362"/>
      <c r="L293" s="362"/>
      <c r="M293" s="362"/>
      <c r="N293" s="362"/>
      <c r="S293" s="10"/>
    </row>
    <row r="294" spans="2:19" ht="27" hidden="1" customHeight="1" x14ac:dyDescent="0.35">
      <c r="C294" s="9"/>
      <c r="H294" s="359" t="e">
        <f>IF(#REF!&lt;&gt;"","                                            14 Syllabus 30", "")</f>
        <v>#REF!</v>
      </c>
      <c r="I294" s="359"/>
      <c r="J294" s="359"/>
      <c r="K294" s="359"/>
      <c r="L294" s="359"/>
      <c r="M294" s="359"/>
      <c r="N294" s="359"/>
      <c r="S294" s="10"/>
    </row>
    <row r="295" spans="2:19" ht="27.75" customHeight="1" x14ac:dyDescent="0.35">
      <c r="C295" s="9"/>
      <c r="H295" s="354" t="s">
        <v>81</v>
      </c>
      <c r="I295" s="354"/>
      <c r="J295" s="354"/>
      <c r="K295" s="354"/>
      <c r="L295" s="354"/>
      <c r="M295" s="354"/>
      <c r="N295" s="354"/>
      <c r="S295" s="10"/>
    </row>
    <row r="297" spans="2:19" ht="21" customHeight="1" x14ac:dyDescent="0.4">
      <c r="B297" s="1"/>
      <c r="C297" s="105"/>
      <c r="D297" s="4"/>
      <c r="E297" s="4"/>
      <c r="J297" s="5"/>
    </row>
    <row r="298" spans="2:19" ht="18" x14ac:dyDescent="0.4">
      <c r="B298" s="1"/>
      <c r="C298" s="105"/>
      <c r="D298" s="14"/>
      <c r="E298" s="14"/>
      <c r="J298" s="5"/>
    </row>
    <row r="299" spans="2:19" ht="18" x14ac:dyDescent="0.4">
      <c r="B299" s="1"/>
      <c r="C299" s="105"/>
      <c r="D299" s="14"/>
      <c r="E299" s="14"/>
      <c r="J299" s="5"/>
    </row>
    <row r="300" spans="2:19" ht="18" x14ac:dyDescent="0.4">
      <c r="B300" s="1"/>
      <c r="C300" s="105"/>
      <c r="D300" s="176"/>
      <c r="E300" s="14"/>
      <c r="J300" s="5"/>
    </row>
    <row r="301" spans="2:19" ht="15.5" x14ac:dyDescent="0.35">
      <c r="C301" s="105"/>
      <c r="D301" s="176"/>
    </row>
    <row r="302" spans="2:19" ht="15.5" x14ac:dyDescent="0.35">
      <c r="C302" s="105"/>
      <c r="D302" s="176"/>
    </row>
    <row r="305" spans="2:11" ht="24" customHeight="1" x14ac:dyDescent="0.35">
      <c r="B305" s="38" t="s">
        <v>191</v>
      </c>
      <c r="C305" s="38"/>
      <c r="D305" s="38"/>
      <c r="E305" s="39"/>
      <c r="F305" s="39"/>
      <c r="K305" s="2"/>
    </row>
    <row r="308" spans="2:11" x14ac:dyDescent="0.35">
      <c r="C308" s="2"/>
    </row>
  </sheetData>
  <sheetProtection algorithmName="SHA-512" hashValue="v75vBV7p9pypxItWzCJtPDOmjJHm0tSkpjyQGbMcGMcBNmsGuu1R2Og+OsOBHakLdASEaujtAExSy3G55FYVcw==" saltValue="CqkAT42owqkFXe7z7BHReg==" spinCount="100000" sheet="1" formatRows="0" insertHyperlinks="0" selectLockedCells="1"/>
  <mergeCells count="292">
    <mergeCell ref="E271:G271"/>
    <mergeCell ref="E272:G272"/>
    <mergeCell ref="E268:G268"/>
    <mergeCell ref="D48:I48"/>
    <mergeCell ref="K48:O48"/>
    <mergeCell ref="B271:C271"/>
    <mergeCell ref="B272:C272"/>
    <mergeCell ref="B262:C262"/>
    <mergeCell ref="B263:C263"/>
    <mergeCell ref="B264:C264"/>
    <mergeCell ref="B265:C265"/>
    <mergeCell ref="B266:C266"/>
    <mergeCell ref="B267:C267"/>
    <mergeCell ref="B268:C268"/>
    <mergeCell ref="B269:C269"/>
    <mergeCell ref="B270:C270"/>
    <mergeCell ref="O111:Q111"/>
    <mergeCell ref="L91:O91"/>
    <mergeCell ref="D92:O92"/>
    <mergeCell ref="D93:F93"/>
    <mergeCell ref="D98:F98"/>
    <mergeCell ref="G93:K93"/>
    <mergeCell ref="D99:F99"/>
    <mergeCell ref="D101:F101"/>
    <mergeCell ref="D19:O19"/>
    <mergeCell ref="E20:G20"/>
    <mergeCell ref="H20:N20"/>
    <mergeCell ref="E21:G21"/>
    <mergeCell ref="H21:N21"/>
    <mergeCell ref="D30:M30"/>
    <mergeCell ref="E26:J26"/>
    <mergeCell ref="O27:Q27"/>
    <mergeCell ref="C2:J2"/>
    <mergeCell ref="D10:H10"/>
    <mergeCell ref="E13:F13"/>
    <mergeCell ref="E18:J18"/>
    <mergeCell ref="D67:H67"/>
    <mergeCell ref="D23:O23"/>
    <mergeCell ref="E24:G24"/>
    <mergeCell ref="H24:N24"/>
    <mergeCell ref="E25:G25"/>
    <mergeCell ref="H25:N25"/>
    <mergeCell ref="G101:K101"/>
    <mergeCell ref="L101:O101"/>
    <mergeCell ref="D97:F97"/>
    <mergeCell ref="G97:K97"/>
    <mergeCell ref="L97:O97"/>
    <mergeCell ref="G98:K98"/>
    <mergeCell ref="L98:O98"/>
    <mergeCell ref="D95:F95"/>
    <mergeCell ref="H81:N81"/>
    <mergeCell ref="D89:L89"/>
    <mergeCell ref="D90:O90"/>
    <mergeCell ref="D166:J166"/>
    <mergeCell ref="E181:G181"/>
    <mergeCell ref="H181:N181"/>
    <mergeCell ref="H182:N182"/>
    <mergeCell ref="D159:O159"/>
    <mergeCell ref="H160:N160"/>
    <mergeCell ref="E161:G161"/>
    <mergeCell ref="H161:N161"/>
    <mergeCell ref="D168:O168"/>
    <mergeCell ref="E169:O169"/>
    <mergeCell ref="E171:O171"/>
    <mergeCell ref="E172:O172"/>
    <mergeCell ref="E175:O175"/>
    <mergeCell ref="D178:O178"/>
    <mergeCell ref="H179:N179"/>
    <mergeCell ref="H180:N180"/>
    <mergeCell ref="H142:N142"/>
    <mergeCell ref="H143:N143"/>
    <mergeCell ref="H144:N144"/>
    <mergeCell ref="H145:N145"/>
    <mergeCell ref="D132:O132"/>
    <mergeCell ref="H133:N133"/>
    <mergeCell ref="O165:Q165"/>
    <mergeCell ref="O131:Q131"/>
    <mergeCell ref="O149:Q149"/>
    <mergeCell ref="R218:V218"/>
    <mergeCell ref="D219:L219"/>
    <mergeCell ref="O219:Q219"/>
    <mergeCell ref="D220:J220"/>
    <mergeCell ref="D222:I222"/>
    <mergeCell ref="D224:O224"/>
    <mergeCell ref="H225:N225"/>
    <mergeCell ref="H294:N294"/>
    <mergeCell ref="H295:N295"/>
    <mergeCell ref="H290:N290"/>
    <mergeCell ref="D282:O282"/>
    <mergeCell ref="H283:N283"/>
    <mergeCell ref="H284:N284"/>
    <mergeCell ref="E285:G285"/>
    <mergeCell ref="H285:N285"/>
    <mergeCell ref="O279:Q279"/>
    <mergeCell ref="D280:L280"/>
    <mergeCell ref="O280:Q280"/>
    <mergeCell ref="D281:J281"/>
    <mergeCell ref="H289:N289"/>
    <mergeCell ref="H291:N291"/>
    <mergeCell ref="H292:N292"/>
    <mergeCell ref="H293:N293"/>
    <mergeCell ref="H288:N288"/>
    <mergeCell ref="J127:J128"/>
    <mergeCell ref="B276:M276"/>
    <mergeCell ref="B116:B118"/>
    <mergeCell ref="J125:J126"/>
    <mergeCell ref="D127:I128"/>
    <mergeCell ref="E134:G134"/>
    <mergeCell ref="H134:N134"/>
    <mergeCell ref="E247:G247"/>
    <mergeCell ref="E248:G248"/>
    <mergeCell ref="C239:C240"/>
    <mergeCell ref="D239:H241"/>
    <mergeCell ref="E226:G226"/>
    <mergeCell ref="C137:C138"/>
    <mergeCell ref="D137:M138"/>
    <mergeCell ref="H135:N135"/>
    <mergeCell ref="H146:N146"/>
    <mergeCell ref="B149:B150"/>
    <mergeCell ref="D149:L149"/>
    <mergeCell ref="D150:J150"/>
    <mergeCell ref="D152:O152"/>
    <mergeCell ref="O148:Q148"/>
    <mergeCell ref="D187:N187"/>
    <mergeCell ref="D130:O130"/>
    <mergeCell ref="D141:O141"/>
    <mergeCell ref="H286:N286"/>
    <mergeCell ref="H287:N287"/>
    <mergeCell ref="E252:G252"/>
    <mergeCell ref="E253:G253"/>
    <mergeCell ref="N258:T258"/>
    <mergeCell ref="I259:L259"/>
    <mergeCell ref="O260:AA260"/>
    <mergeCell ref="O261:AA261"/>
    <mergeCell ref="E249:G249"/>
    <mergeCell ref="E250:G250"/>
    <mergeCell ref="E251:G251"/>
    <mergeCell ref="R279:V279"/>
    <mergeCell ref="E269:G269"/>
    <mergeCell ref="E270:G270"/>
    <mergeCell ref="E254:G254"/>
    <mergeCell ref="E255:G255"/>
    <mergeCell ref="E256:G256"/>
    <mergeCell ref="E257:G257"/>
    <mergeCell ref="E265:G265"/>
    <mergeCell ref="E266:G266"/>
    <mergeCell ref="E267:G267"/>
    <mergeCell ref="E262:G262"/>
    <mergeCell ref="E263:G263"/>
    <mergeCell ref="E264:G264"/>
    <mergeCell ref="B90:B91"/>
    <mergeCell ref="D46:I47"/>
    <mergeCell ref="J46:J47"/>
    <mergeCell ref="K46:O47"/>
    <mergeCell ref="D50:I50"/>
    <mergeCell ref="D52:K52"/>
    <mergeCell ref="E53:H53"/>
    <mergeCell ref="E54:H54"/>
    <mergeCell ref="E55:H55"/>
    <mergeCell ref="E56:H56"/>
    <mergeCell ref="D59:O59"/>
    <mergeCell ref="H60:N60"/>
    <mergeCell ref="H61:N61"/>
    <mergeCell ref="H62:N62"/>
    <mergeCell ref="H63:N63"/>
    <mergeCell ref="H64:N64"/>
    <mergeCell ref="H65:N65"/>
    <mergeCell ref="B52:B54"/>
    <mergeCell ref="D73:L73"/>
    <mergeCell ref="D75:I75"/>
    <mergeCell ref="D79:O79"/>
    <mergeCell ref="J75:K75"/>
    <mergeCell ref="D76:I76"/>
    <mergeCell ref="J76:K76"/>
    <mergeCell ref="D114:L114"/>
    <mergeCell ref="D115:J115"/>
    <mergeCell ref="D96:F96"/>
    <mergeCell ref="G96:K96"/>
    <mergeCell ref="L96:O96"/>
    <mergeCell ref="D102:F102"/>
    <mergeCell ref="G102:K102"/>
    <mergeCell ref="L102:O102"/>
    <mergeCell ref="L93:O93"/>
    <mergeCell ref="D94:F94"/>
    <mergeCell ref="G94:K94"/>
    <mergeCell ref="L94:O94"/>
    <mergeCell ref="G95:K95"/>
    <mergeCell ref="L95:O95"/>
    <mergeCell ref="G99:K99"/>
    <mergeCell ref="L99:O99"/>
    <mergeCell ref="D100:F100"/>
    <mergeCell ref="G100:K100"/>
    <mergeCell ref="L100:O100"/>
    <mergeCell ref="D103:F103"/>
    <mergeCell ref="G103:K103"/>
    <mergeCell ref="G104:K104"/>
    <mergeCell ref="L104:O104"/>
    <mergeCell ref="D105:F105"/>
    <mergeCell ref="D188:E189"/>
    <mergeCell ref="D190:E190"/>
    <mergeCell ref="D201:O201"/>
    <mergeCell ref="H202:N202"/>
    <mergeCell ref="D194:E194"/>
    <mergeCell ref="D195:E195"/>
    <mergeCell ref="D196:E196"/>
    <mergeCell ref="D197:E197"/>
    <mergeCell ref="D198:E198"/>
    <mergeCell ref="D199:E199"/>
    <mergeCell ref="D192:E192"/>
    <mergeCell ref="D193:E193"/>
    <mergeCell ref="D191:E191"/>
    <mergeCell ref="B165:B167"/>
    <mergeCell ref="D165:L165"/>
    <mergeCell ref="B261:H261"/>
    <mergeCell ref="H213:N213"/>
    <mergeCell ref="H211:N211"/>
    <mergeCell ref="H212:N212"/>
    <mergeCell ref="H203:N203"/>
    <mergeCell ref="E204:G204"/>
    <mergeCell ref="H204:N204"/>
    <mergeCell ref="H205:N205"/>
    <mergeCell ref="H206:N206"/>
    <mergeCell ref="H207:N207"/>
    <mergeCell ref="H208:N208"/>
    <mergeCell ref="H209:N209"/>
    <mergeCell ref="L222:Q222"/>
    <mergeCell ref="H210:N210"/>
    <mergeCell ref="H226:N226"/>
    <mergeCell ref="H227:N227"/>
    <mergeCell ref="D232:L235"/>
    <mergeCell ref="O232:Q232"/>
    <mergeCell ref="O218:Q218"/>
    <mergeCell ref="B246:M246"/>
    <mergeCell ref="B184:B186"/>
    <mergeCell ref="D185:L185"/>
    <mergeCell ref="R148:V148"/>
    <mergeCell ref="O164:Q164"/>
    <mergeCell ref="R164:V164"/>
    <mergeCell ref="D85:I86"/>
    <mergeCell ref="J85:J86"/>
    <mergeCell ref="D87:I88"/>
    <mergeCell ref="J87:J88"/>
    <mergeCell ref="K85:O88"/>
    <mergeCell ref="D112:I113"/>
    <mergeCell ref="J112:J113"/>
    <mergeCell ref="K112:O113"/>
    <mergeCell ref="D123:I124"/>
    <mergeCell ref="J123:J124"/>
    <mergeCell ref="D125:I126"/>
    <mergeCell ref="H162:N162"/>
    <mergeCell ref="H163:N163"/>
    <mergeCell ref="K123:O128"/>
    <mergeCell ref="D131:M131"/>
    <mergeCell ref="O129:Q129"/>
    <mergeCell ref="E116:N118"/>
    <mergeCell ref="D116:D118"/>
    <mergeCell ref="R111:V111"/>
    <mergeCell ref="L103:O103"/>
    <mergeCell ref="D104:F104"/>
    <mergeCell ref="R27:V27"/>
    <mergeCell ref="W27:AA27"/>
    <mergeCell ref="D28:J28"/>
    <mergeCell ref="D31:G31"/>
    <mergeCell ref="I31:J31"/>
    <mergeCell ref="D32:G32"/>
    <mergeCell ref="I32:J32"/>
    <mergeCell ref="D33:G33"/>
    <mergeCell ref="I33:J33"/>
    <mergeCell ref="R131:S131"/>
    <mergeCell ref="B4:O4"/>
    <mergeCell ref="B7:O7"/>
    <mergeCell ref="B69:O69"/>
    <mergeCell ref="B109:O109"/>
    <mergeCell ref="D34:G34"/>
    <mergeCell ref="I34:J34"/>
    <mergeCell ref="D37:O37"/>
    <mergeCell ref="H38:N38"/>
    <mergeCell ref="E39:G39"/>
    <mergeCell ref="H39:N39"/>
    <mergeCell ref="E80:G80"/>
    <mergeCell ref="H80:N80"/>
    <mergeCell ref="D91:F91"/>
    <mergeCell ref="G91:K91"/>
    <mergeCell ref="B73:B74"/>
    <mergeCell ref="G105:K105"/>
    <mergeCell ref="L105:O105"/>
    <mergeCell ref="B9:B11"/>
    <mergeCell ref="B13:B15"/>
    <mergeCell ref="G13:J13"/>
    <mergeCell ref="G14:J14"/>
    <mergeCell ref="G15:H15"/>
    <mergeCell ref="G16:H16"/>
  </mergeCells>
  <conditionalFormatting sqref="B131">
    <cfRule type="expression" dxfId="709" priority="3118">
      <formula>#REF!&lt;&gt;""</formula>
    </cfRule>
  </conditionalFormatting>
  <conditionalFormatting sqref="B149:B150">
    <cfRule type="expression" dxfId="708" priority="50">
      <formula>$B$149&lt;&gt;""</formula>
    </cfRule>
  </conditionalFormatting>
  <conditionalFormatting sqref="B165:B167">
    <cfRule type="expression" dxfId="707" priority="48">
      <formula>$B$165&lt;&gt;""</formula>
    </cfRule>
  </conditionalFormatting>
  <conditionalFormatting sqref="B184:B186">
    <cfRule type="expression" dxfId="706" priority="43">
      <formula>$B$184&lt;&gt;""</formula>
    </cfRule>
  </conditionalFormatting>
  <conditionalFormatting sqref="D91:F91">
    <cfRule type="expression" dxfId="705" priority="115">
      <formula>$D$90&lt;&gt;""</formula>
    </cfRule>
  </conditionalFormatting>
  <conditionalFormatting sqref="D31:G34">
    <cfRule type="expression" dxfId="700" priority="35">
      <formula>$B$27&lt;&gt;""</formula>
    </cfRule>
  </conditionalFormatting>
  <conditionalFormatting sqref="D52:K52">
    <cfRule type="beginsWith" dxfId="699" priority="80" operator="beginsWith" text="There must be">
      <formula>LEFT(D52,LEN("There must be"))="There must be"</formula>
    </cfRule>
  </conditionalFormatting>
  <conditionalFormatting sqref="D187:N187">
    <cfRule type="expression" dxfId="697" priority="41">
      <formula>$D$187&lt;&gt;""</formula>
    </cfRule>
  </conditionalFormatting>
  <conditionalFormatting sqref="D188:N189">
    <cfRule type="expression" dxfId="696" priority="40">
      <formula>$D$187&lt;&gt;""</formula>
    </cfRule>
  </conditionalFormatting>
  <conditionalFormatting sqref="D190:N199">
    <cfRule type="expression" dxfId="695" priority="42">
      <formula>$D$187&lt;&gt;""</formula>
    </cfRule>
  </conditionalFormatting>
  <conditionalFormatting sqref="D19:O19">
    <cfRule type="expression" dxfId="694" priority="5">
      <formula>D19&lt;&gt;""</formula>
    </cfRule>
  </conditionalFormatting>
  <conditionalFormatting sqref="D37:O37">
    <cfRule type="expression" dxfId="693" priority="33">
      <formula>$B$27&lt;&gt;""</formula>
    </cfRule>
  </conditionalFormatting>
  <conditionalFormatting sqref="D59:O59">
    <cfRule type="expression" dxfId="692" priority="96">
      <formula>$D$59&lt;&gt;""</formula>
    </cfRule>
  </conditionalFormatting>
  <conditionalFormatting sqref="D90:O90">
    <cfRule type="expression" dxfId="691" priority="116">
      <formula>$D$90&lt;&gt;""</formula>
    </cfRule>
  </conditionalFormatting>
  <conditionalFormatting sqref="D92:O92">
    <cfRule type="expression" dxfId="690" priority="112">
      <formula>$D$90&lt;&gt;""</formula>
    </cfRule>
  </conditionalFormatting>
  <conditionalFormatting sqref="D130:O130">
    <cfRule type="expression" dxfId="689" priority="58">
      <formula>OR(AND($J123="Yes",J125="Yes",J127="Yes"),AND(J123="Yes",J125="Yes",J127="N/A"))</formula>
    </cfRule>
  </conditionalFormatting>
  <conditionalFormatting sqref="D132:O132">
    <cfRule type="expression" dxfId="688" priority="57">
      <formula>$D$132&lt;&gt;""</formula>
    </cfRule>
  </conditionalFormatting>
  <conditionalFormatting sqref="D141:O141">
    <cfRule type="expression" dxfId="687" priority="54">
      <formula>$D$141&lt;&gt;""</formula>
    </cfRule>
  </conditionalFormatting>
  <conditionalFormatting sqref="D152:O156">
    <cfRule type="expression" dxfId="686" priority="53">
      <formula>$J$123="No"</formula>
    </cfRule>
  </conditionalFormatting>
  <conditionalFormatting sqref="D159:O159">
    <cfRule type="expression" dxfId="685" priority="52">
      <formula>$D$159&lt;&gt;""</formula>
    </cfRule>
  </conditionalFormatting>
  <conditionalFormatting sqref="D168:O175">
    <cfRule type="expression" dxfId="684" priority="49">
      <formula>$J$125="No"</formula>
    </cfRule>
  </conditionalFormatting>
  <conditionalFormatting sqref="D178:O178">
    <cfRule type="expression" dxfId="683" priority="47">
      <formula>$D$178&lt;&gt;""</formula>
    </cfRule>
  </conditionalFormatting>
  <conditionalFormatting sqref="D201:O201">
    <cfRule type="expression" dxfId="682" priority="44">
      <formula>$D$201&lt;&gt;""</formula>
    </cfRule>
  </conditionalFormatting>
  <conditionalFormatting sqref="E12">
    <cfRule type="expression" dxfId="681" priority="3081">
      <formula>#REF!="No"</formula>
    </cfRule>
  </conditionalFormatting>
  <conditionalFormatting sqref="E20">
    <cfRule type="expression" dxfId="680" priority="7">
      <formula>E19&lt;&gt;""</formula>
    </cfRule>
  </conditionalFormatting>
  <conditionalFormatting sqref="E27">
    <cfRule type="expression" dxfId="679" priority="36">
      <formula>E27=" authorization is required"</formula>
    </cfRule>
  </conditionalFormatting>
  <conditionalFormatting sqref="E45">
    <cfRule type="expression" dxfId="678" priority="97">
      <formula>E45=" authorization is required"</formula>
    </cfRule>
  </conditionalFormatting>
  <conditionalFormatting sqref="E53:H53">
    <cfRule type="expression" dxfId="677" priority="93">
      <formula>AND($J$46="Yes",$J50&gt;=1)</formula>
    </cfRule>
  </conditionalFormatting>
  <conditionalFormatting sqref="E54:H54">
    <cfRule type="expression" dxfId="676" priority="92">
      <formula>AND($J$46="Yes",$J50&gt;=2)</formula>
    </cfRule>
  </conditionalFormatting>
  <conditionalFormatting sqref="E55:H55">
    <cfRule type="expression" dxfId="675" priority="89">
      <formula>AND($J$46="Yes",$J50&gt;=3)</formula>
    </cfRule>
  </conditionalFormatting>
  <conditionalFormatting sqref="E56:H56">
    <cfRule type="expression" dxfId="674" priority="87">
      <formula>AND($J$46="Yes",$J50&gt;=4)</formula>
    </cfRule>
  </conditionalFormatting>
  <conditionalFormatting sqref="F12:H12">
    <cfRule type="expression" dxfId="673" priority="16">
      <formula>K5="No"</formula>
    </cfRule>
  </conditionalFormatting>
  <conditionalFormatting sqref="F11:K11">
    <cfRule type="expression" dxfId="672" priority="14">
      <formula>F9="Yes"</formula>
    </cfRule>
  </conditionalFormatting>
  <conditionalFormatting sqref="G15:H15">
    <cfRule type="expression" dxfId="671" priority="10">
      <formula>OR(I9=1,I9=2,I9=3,I9=4)</formula>
    </cfRule>
  </conditionalFormatting>
  <conditionalFormatting sqref="G16:H16">
    <cfRule type="expression" dxfId="670" priority="9">
      <formula>OR(I9=1,I9=2,I9=3,I9=4)</formula>
    </cfRule>
  </conditionalFormatting>
  <conditionalFormatting sqref="G13:J13">
    <cfRule type="expression" dxfId="669" priority="12">
      <formula>OR(I9=1,I9=2,I9=3,I9=4)</formula>
    </cfRule>
  </conditionalFormatting>
  <conditionalFormatting sqref="G14:J14">
    <cfRule type="expression" dxfId="668" priority="11">
      <formula>OR(I9=1,I9=2,I9=3,I9=4)</formula>
    </cfRule>
  </conditionalFormatting>
  <conditionalFormatting sqref="G91:K91">
    <cfRule type="expression" dxfId="667" priority="114">
      <formula>$D$90&lt;&gt;""</formula>
    </cfRule>
  </conditionalFormatting>
  <conditionalFormatting sqref="H63">
    <cfRule type="expression" dxfId="663" priority="83">
      <formula>$H$60&lt;&gt;""</formula>
    </cfRule>
  </conditionalFormatting>
  <conditionalFormatting sqref="H248">
    <cfRule type="expression" dxfId="662" priority="128">
      <formula>#REF!="No"</formula>
    </cfRule>
  </conditionalFormatting>
  <conditionalFormatting sqref="H271">
    <cfRule type="expression" dxfId="661" priority="126">
      <formula>#REF!="No"</formula>
    </cfRule>
  </conditionalFormatting>
  <conditionalFormatting sqref="H273">
    <cfRule type="expression" dxfId="660" priority="127">
      <formula>#REF!="No"</formula>
    </cfRule>
  </conditionalFormatting>
  <conditionalFormatting sqref="H20:N21">
    <cfRule type="expression" dxfId="659" priority="4">
      <formula>$D$19&lt;&gt;""</formula>
    </cfRule>
  </conditionalFormatting>
  <conditionalFormatting sqref="H38:N38">
    <cfRule type="expression" dxfId="658" priority="22">
      <formula>$H38&lt;&gt;""</formula>
    </cfRule>
  </conditionalFormatting>
  <conditionalFormatting sqref="H39:N39">
    <cfRule type="expression" dxfId="657" priority="17">
      <formula>$H$38&lt;&gt;""</formula>
    </cfRule>
  </conditionalFormatting>
  <conditionalFormatting sqref="H60:N62">
    <cfRule type="expression" dxfId="656" priority="78">
      <formula>$H$60&lt;&gt;""</formula>
    </cfRule>
  </conditionalFormatting>
  <conditionalFormatting sqref="H64:N65">
    <cfRule type="expression" dxfId="655" priority="77">
      <formula>$H$60&lt;&gt;""</formula>
    </cfRule>
  </conditionalFormatting>
  <conditionalFormatting sqref="H142:N146">
    <cfRule type="expression" dxfId="654" priority="55">
      <formula>$H$142&lt;&gt;""</formula>
    </cfRule>
  </conditionalFormatting>
  <conditionalFormatting sqref="H160:N163">
    <cfRule type="expression" dxfId="653" priority="51">
      <formula>$H$160&lt;&gt;""</formula>
    </cfRule>
  </conditionalFormatting>
  <conditionalFormatting sqref="H179:N182">
    <cfRule type="expression" dxfId="652" priority="46">
      <formula>$H$179&lt;&gt;""</formula>
    </cfRule>
  </conditionalFormatting>
  <conditionalFormatting sqref="H202:N213">
    <cfRule type="expression" dxfId="651" priority="45">
      <formula>$H$202&lt;&gt;""</formula>
    </cfRule>
  </conditionalFormatting>
  <conditionalFormatting sqref="I31:J34">
    <cfRule type="expression" dxfId="650" priority="34">
      <formula>$B$27&lt;&gt;""</formula>
    </cfRule>
  </conditionalFormatting>
  <conditionalFormatting sqref="J12">
    <cfRule type="expression" dxfId="649" priority="13">
      <formula>J12=" authorization is required"</formula>
    </cfRule>
  </conditionalFormatting>
  <conditionalFormatting sqref="J46">
    <cfRule type="cellIs" dxfId="648" priority="84" operator="equal">
      <formula>"No"</formula>
    </cfRule>
  </conditionalFormatting>
  <conditionalFormatting sqref="J48">
    <cfRule type="expression" dxfId="647" priority="1">
      <formula>$J$48="No"</formula>
    </cfRule>
  </conditionalFormatting>
  <conditionalFormatting sqref="J50">
    <cfRule type="expression" dxfId="646" priority="95">
      <formula>$D$50&lt;&gt;""</formula>
    </cfRule>
  </conditionalFormatting>
  <conditionalFormatting sqref="J53">
    <cfRule type="expression" dxfId="645" priority="74">
      <formula>AND($J$46="Yes",$J50&gt;=1)</formula>
    </cfRule>
  </conditionalFormatting>
  <conditionalFormatting sqref="J54">
    <cfRule type="expression" dxfId="644" priority="73">
      <formula>AND($J$46="Yes",$J50&gt;=2)</formula>
    </cfRule>
  </conditionalFormatting>
  <conditionalFormatting sqref="J55">
    <cfRule type="expression" dxfId="643" priority="72">
      <formula>AND($J$46="Yes",$J50&gt;=3)</formula>
    </cfRule>
  </conditionalFormatting>
  <conditionalFormatting sqref="J56">
    <cfRule type="expression" dxfId="642" priority="71">
      <formula>AND($J$46="Yes",$J50&gt;=4)</formula>
    </cfRule>
  </conditionalFormatting>
  <conditionalFormatting sqref="K22:K25">
    <cfRule type="expression" dxfId="641" priority="8">
      <formula>K1048554="Yes"</formula>
    </cfRule>
  </conditionalFormatting>
  <conditionalFormatting sqref="K23:K25">
    <cfRule type="expression" dxfId="640" priority="3104">
      <formula>K1048556="Yes"</formula>
    </cfRule>
  </conditionalFormatting>
  <conditionalFormatting sqref="K26">
    <cfRule type="expression" dxfId="639" priority="38">
      <formula>K6="Yes"</formula>
    </cfRule>
  </conditionalFormatting>
  <conditionalFormatting sqref="K67">
    <cfRule type="expression" dxfId="638" priority="3105">
      <formula>K1048555="Yes"</formula>
    </cfRule>
  </conditionalFormatting>
  <conditionalFormatting sqref="K68">
    <cfRule type="expression" dxfId="637" priority="3083">
      <formula>K1048559="Yes"</formula>
    </cfRule>
  </conditionalFormatting>
  <conditionalFormatting sqref="L91:O91">
    <cfRule type="expression" dxfId="636" priority="113">
      <formula>$D$90&lt;&gt;""</formula>
    </cfRule>
  </conditionalFormatting>
  <conditionalFormatting sqref="L222:Q222">
    <cfRule type="expression" dxfId="635" priority="39">
      <formula>$L$222&lt;&gt;""</formula>
    </cfRule>
  </conditionalFormatting>
  <conditionalFormatting sqref="N247 N248:O248 Q248:S248 N249:S257">
    <cfRule type="expression" dxfId="634" priority="124">
      <formula>$N247&lt;&gt;""</formula>
    </cfRule>
  </conditionalFormatting>
  <conditionalFormatting sqref="N258:T258">
    <cfRule type="expression" dxfId="633" priority="122">
      <formula>$N$258&lt;&gt;""</formula>
    </cfRule>
  </conditionalFormatting>
  <conditionalFormatting sqref="T4">
    <cfRule type="expression" dxfId="632" priority="386">
      <formula>S4&lt;&gt;""</formula>
    </cfRule>
  </conditionalFormatting>
  <conditionalFormatting sqref="AC4">
    <cfRule type="expression" dxfId="631" priority="385">
      <formula>AB4&lt;&gt;""</formula>
    </cfRule>
  </conditionalFormatting>
  <conditionalFormatting sqref="AT4">
    <cfRule type="expression" dxfId="630" priority="382">
      <formula>AS4&lt;&gt;""</formula>
    </cfRule>
  </conditionalFormatting>
  <conditionalFormatting sqref="BC4">
    <cfRule type="expression" dxfId="629" priority="381">
      <formula>BB4&lt;&gt;""</formula>
    </cfRule>
  </conditionalFormatting>
  <conditionalFormatting sqref="BL4">
    <cfRule type="expression" dxfId="628" priority="380">
      <formula>BK4&lt;&gt;""</formula>
    </cfRule>
  </conditionalFormatting>
  <conditionalFormatting sqref="BU4">
    <cfRule type="expression" dxfId="627" priority="379">
      <formula>BT4&lt;&gt;""</formula>
    </cfRule>
  </conditionalFormatting>
  <conditionalFormatting sqref="CD4">
    <cfRule type="expression" dxfId="626" priority="378">
      <formula>CC4&lt;&gt;""</formula>
    </cfRule>
  </conditionalFormatting>
  <conditionalFormatting sqref="CM4">
    <cfRule type="expression" dxfId="625" priority="377">
      <formula>CL4&lt;&gt;""</formula>
    </cfRule>
  </conditionalFormatting>
  <conditionalFormatting sqref="CV4">
    <cfRule type="expression" dxfId="624" priority="376">
      <formula>CU4&lt;&gt;""</formula>
    </cfRule>
  </conditionalFormatting>
  <dataValidations count="7">
    <dataValidation type="list" allowBlank="1" showInputMessage="1" showErrorMessage="1" sqref="J240 J222 I31:J34 I67" xr:uid="{47DD2E69-B98B-4BD9-84FB-F88BB8CCECE2}">
      <formula1>"Yes, No"</formula1>
    </dataValidation>
    <dataValidation type="list" allowBlank="1" showInputMessage="1" showErrorMessage="1" sqref="J50" xr:uid="{9D35AA4B-BF31-4682-BA34-222C7B306BE5}">
      <formula1>"1,2,3, 4"</formula1>
    </dataValidation>
    <dataValidation type="list" allowBlank="1" showInputMessage="1" showErrorMessage="1" sqref="D116" xr:uid="{94AEC060-D1B8-4CE3-B567-3E6B03889D9C}">
      <formula1>"Please Select, Yes"</formula1>
    </dataValidation>
    <dataValidation type="list" allowBlank="1" showInputMessage="1" showErrorMessage="1" sqref="G190:G199" xr:uid="{9541F210-35A5-406D-8D8B-FF60836BF259}">
      <formula1>"Assistant Medical Director, Associate Medical Director, Clinical Coordinator, FT Faculty, Instructor/Adjunct, Lead Instructor"</formula1>
    </dataValidation>
    <dataValidation type="list" allowBlank="1" showInputMessage="1" showErrorMessage="1" sqref="I190:I199" xr:uid="{20836781-1992-4C06-A6C7-DE205A96153C}">
      <formula1>"Didactic, Lab, Both"</formula1>
    </dataValidation>
    <dataValidation type="list" allowBlank="1" showInputMessage="1" showErrorMessage="1" sqref="D10:H10" xr:uid="{6E7000CA-E3D6-47AF-9DC8-33D146820C87}">
      <formula1>Sponsorcategory</formula1>
    </dataValidation>
    <dataValidation type="list" allowBlank="1" showInputMessage="1" showErrorMessage="1" sqref="G13:J13" xr:uid="{B619D57A-168A-4723-B4AB-21A6B447B77B}">
      <formula1>Result</formula1>
    </dataValidation>
  </dataValidations>
  <hyperlinks>
    <hyperlink ref="R218:V218" r:id="rId1" display="https://coaemsp.org/resource-library" xr:uid="{A66F8AA3-174C-498F-8C74-3A213DE09C47}"/>
    <hyperlink ref="R279:V279" r:id="rId2" display="Sample Syllabus" xr:uid="{B66CD9BC-B431-4341-96A0-4F92A4D8C627}"/>
    <hyperlink ref="H291:N291" r:id="rId3" display="Documentation\14 Syllabus 17.pdf" xr:uid="{2F9E35E0-6FAB-47E6-A8EA-74D0E2982B68}"/>
    <hyperlink ref="H292:N292" r:id="rId4" display="Documentation\14 Syllabus 18.pdf" xr:uid="{F0A7A541-4CC1-457B-A101-1D2D1E3E5F7F}"/>
    <hyperlink ref="H293:N293" r:id="rId5" display="Documentation\14 Syllabus 17.pdf" xr:uid="{B3A41546-FC4A-427F-B966-AB687A6746EE}"/>
    <hyperlink ref="H294:N294" r:id="rId6" display="Documentation\14 Syllabus 18.pdf" xr:uid="{2896347E-27FA-496B-85AC-C779B47FA3C9}"/>
    <hyperlink ref="R111:V111" r:id="rId7" display="https://coaemsp.org/resource-library" xr:uid="{A13BA831-1E90-489B-8107-0770A2D777D0}"/>
    <hyperlink ref="R148:V148" r:id="rId8" display="CoAEMSP Program Director Responsibilities " xr:uid="{5AC7F0CD-339A-4115-8202-E532E725CBA3}"/>
    <hyperlink ref="R164:V164" r:id="rId9" display="CoAEMSP Medical Director Responsibilities " xr:uid="{1BAAB8B2-F14D-4CC3-A205-9004FFC1891C}"/>
    <hyperlink ref="R27" r:id="rId10" display="https://coaemsp.org/Forms.htm" xr:uid="{0C7F6C20-9BE4-4637-AC02-BD9EA274A233}"/>
    <hyperlink ref="R27:V27" r:id="rId11" display="https://coaemsp.org/resource-library" xr:uid="{1A115EC3-FBC0-43D0-97EA-6D8BC5818BC9}"/>
  </hyperlinks>
  <pageMargins left="0.7" right="0.7" top="0.75" bottom="0.75" header="0.3" footer="0.3"/>
  <pageSetup scale="39" fitToHeight="0" orientation="portrait" r:id="rId12"/>
  <rowBreaks count="1" manualBreakCount="1">
    <brk id="297" max="13" man="1"/>
  </rowBreaks>
  <legacyDrawing r:id="rId13"/>
  <tableParts count="1">
    <tablePart r:id="rId14"/>
  </tableParts>
  <extLst>
    <ext xmlns:x14="http://schemas.microsoft.com/office/spreadsheetml/2009/9/main" uri="{78C0D931-6437-407d-A8EE-F0AAD7539E65}">
      <x14:conditionalFormattings>
        <x14:conditionalFormatting xmlns:xm="http://schemas.microsoft.com/office/excel/2006/main">
          <x14:cfRule type="expression" priority="403" id="{00000000-000E-0000-0200-000006000000}">
            <xm:f>AND('Program Info'!$G$53="Yes",'Program Info'!$G$62="Yes")</xm:f>
            <x14:dxf>
              <border>
                <left style="thin">
                  <color auto="1"/>
                </left>
                <right style="thin">
                  <color auto="1"/>
                </right>
                <top style="thin">
                  <color auto="1"/>
                </top>
                <bottom style="thin">
                  <color auto="1"/>
                </bottom>
                <vertical/>
                <horizontal/>
              </border>
            </x14:dxf>
          </x14:cfRule>
          <xm:sqref>D93:F94</xm:sqref>
        </x14:conditionalFormatting>
        <x14:conditionalFormatting xmlns:xm="http://schemas.microsoft.com/office/excel/2006/main">
          <x14:cfRule type="expression" priority="405" id="{00000000-000E-0000-0200-000009000000}">
            <xm:f>AND('Program Info'!$G$53="Yes",'Program Info'!$G$62="No")</xm:f>
            <x14:dxf>
              <border>
                <left style="thin">
                  <color auto="1"/>
                </left>
                <right style="thin">
                  <color auto="1"/>
                </right>
                <top style="thin">
                  <color auto="1"/>
                </top>
                <bottom style="thin">
                  <color auto="1"/>
                </bottom>
                <vertical/>
                <horizontal/>
              </border>
            </x14:dxf>
          </x14:cfRule>
          <x14:cfRule type="expression" priority="404" id="{00000000-000E-0000-0200-000003000000}">
            <xm:f>AND('Program Info'!$G$53="No",'Program Info'!$G$62="No")</xm:f>
            <x14:dxf>
              <border>
                <left style="thin">
                  <color auto="1"/>
                </left>
                <right style="thin">
                  <color auto="1"/>
                </right>
                <top style="thin">
                  <color auto="1"/>
                </top>
                <bottom style="thin">
                  <color auto="1"/>
                </bottom>
                <vertical/>
                <horizontal/>
              </border>
            </x14:dxf>
          </x14:cfRule>
          <xm:sqref>D93:F105</xm:sqref>
        </x14:conditionalFormatting>
        <x14:conditionalFormatting xmlns:xm="http://schemas.microsoft.com/office/excel/2006/main">
          <x14:cfRule type="expression" priority="406" id="{00000000-000E-0000-0200-000002000000}">
            <xm:f>AND('Program Info'!$G$53="No",'Program Info'!$G$62="No")</xm:f>
            <x14:dxf>
              <font>
                <b/>
                <i val="0"/>
                <color auto="1"/>
              </font>
              <fill>
                <patternFill>
                  <bgColor theme="4" tint="0.79998168889431442"/>
                </patternFill>
              </fill>
            </x14:dxf>
          </x14:cfRule>
          <xm:sqref>D104:F105</xm:sqref>
        </x14:conditionalFormatting>
        <x14:conditionalFormatting xmlns:xm="http://schemas.microsoft.com/office/excel/2006/main">
          <x14:cfRule type="expression" priority="407" id="{00000000-000E-0000-0200-000004000000}">
            <xm:f>AND('Program Info'!$G$53="No",'Program Info'!$G$62="Yes")</xm:f>
            <x14:dxf>
              <font>
                <b/>
                <i val="0"/>
                <color rgb="FFC00000"/>
              </font>
              <fill>
                <patternFill>
                  <bgColor theme="0" tint="-4.9989318521683403E-2"/>
                </patternFill>
              </fill>
            </x14:dxf>
          </x14:cfRule>
          <xm:sqref>D89:L89</xm:sqref>
        </x14:conditionalFormatting>
        <x14:conditionalFormatting xmlns:xm="http://schemas.microsoft.com/office/excel/2006/main">
          <x14:cfRule type="expression" priority="408" id="{00000000-000E-0000-0200-000005000000}">
            <xm:f>AND('Program Info'!$G$53="Yes",'Program Info'!$G$62="Yes")</xm:f>
            <x14:dxf>
              <fill>
                <patternFill>
                  <bgColor rgb="FFFBE0CD"/>
                </patternFill>
              </fill>
              <border>
                <left style="thin">
                  <color auto="1"/>
                </left>
                <right style="thin">
                  <color auto="1"/>
                </right>
                <top style="thin">
                  <color auto="1"/>
                </top>
                <bottom style="thin">
                  <color auto="1"/>
                </bottom>
                <vertical/>
                <horizontal/>
              </border>
            </x14:dxf>
          </x14:cfRule>
          <xm:sqref>G93:O94</xm:sqref>
        </x14:conditionalFormatting>
        <x14:conditionalFormatting xmlns:xm="http://schemas.microsoft.com/office/excel/2006/main">
          <x14:cfRule type="expression" priority="410" id="{00000000-000E-0000-0200-000008000000}">
            <xm:f>AND('Program Info'!$G$53="Yes",'Program Info'!$G$62="No")</xm:f>
            <x14:dxf>
              <fill>
                <patternFill>
                  <bgColor rgb="FFFBE0CD"/>
                </patternFill>
              </fill>
              <border>
                <left style="thin">
                  <color auto="1"/>
                </left>
                <right style="thin">
                  <color auto="1"/>
                </right>
                <top style="thin">
                  <color auto="1"/>
                </top>
                <bottom style="thin">
                  <color auto="1"/>
                </bottom>
                <vertical/>
                <horizontal/>
              </border>
            </x14:dxf>
          </x14:cfRule>
          <x14:cfRule type="expression" priority="409" id="{00000000-000E-0000-0200-000001000000}">
            <xm:f>AND('Program Info'!$G$53="No",'Program Info'!$G$62="No")</xm:f>
            <x14:dxf>
              <fill>
                <patternFill>
                  <bgColor rgb="FFFBE0CD"/>
                </patternFill>
              </fill>
              <border>
                <left style="thin">
                  <color auto="1"/>
                </left>
                <right style="thin">
                  <color auto="1"/>
                </right>
                <top style="thin">
                  <color auto="1"/>
                </top>
                <bottom style="thin">
                  <color auto="1"/>
                </bottom>
                <vertical/>
                <horizontal/>
              </border>
            </x14:dxf>
          </x14:cfRule>
          <xm:sqref>G93:O105</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0D0CA-F68A-4FF6-99AE-D058511FF7DC}">
  <sheetPr>
    <tabColor rgb="FFD5B8EA"/>
  </sheetPr>
  <dimension ref="A2:CV183"/>
  <sheetViews>
    <sheetView showGridLines="0" zoomScaleNormal="100" workbookViewId="0">
      <selection activeCell="C31" sqref="C31:F31"/>
    </sheetView>
  </sheetViews>
  <sheetFormatPr defaultColWidth="9.1796875" defaultRowHeight="14.5" x14ac:dyDescent="0.35"/>
  <cols>
    <col min="1" max="1" width="4.7265625" customWidth="1"/>
    <col min="2" max="2" width="16.453125" customWidth="1"/>
    <col min="3" max="3" width="19.1796875" customWidth="1"/>
    <col min="4" max="4" width="7.1796875" customWidth="1"/>
    <col min="5" max="5" width="7.453125" customWidth="1"/>
    <col min="6" max="6" width="17" customWidth="1"/>
    <col min="7" max="7" width="10.81640625" customWidth="1"/>
    <col min="8" max="8" width="10.453125" customWidth="1"/>
    <col min="14" max="14" width="4.7265625" customWidth="1"/>
    <col min="15" max="15" width="16.453125" customWidth="1"/>
    <col min="16" max="16" width="19.1796875" customWidth="1"/>
    <col min="17" max="17" width="7.1796875" customWidth="1"/>
    <col min="18" max="18" width="7.453125" customWidth="1"/>
    <col min="19" max="19" width="17" customWidth="1"/>
    <col min="20" max="20" width="10.81640625" customWidth="1"/>
    <col min="21" max="21" width="10.453125" customWidth="1"/>
    <col min="27" max="27" width="4.7265625" customWidth="1"/>
    <col min="28" max="28" width="16.453125" customWidth="1"/>
    <col min="29" max="29" width="19.1796875" customWidth="1"/>
    <col min="30" max="30" width="7.1796875" customWidth="1"/>
    <col min="31" max="31" width="7.453125" customWidth="1"/>
    <col min="32" max="32" width="17" customWidth="1"/>
    <col min="33" max="33" width="10.81640625" customWidth="1"/>
    <col min="34" max="34" width="10.453125" customWidth="1"/>
    <col min="40" max="40" width="4.7265625" customWidth="1"/>
    <col min="41" max="41" width="16.453125" customWidth="1"/>
    <col min="42" max="42" width="19.1796875" customWidth="1"/>
    <col min="43" max="43" width="7.1796875" customWidth="1"/>
    <col min="44" max="44" width="7.453125" customWidth="1"/>
    <col min="45" max="45" width="17" customWidth="1"/>
    <col min="46" max="46" width="10.81640625" customWidth="1"/>
    <col min="47" max="47" width="10.453125" customWidth="1"/>
    <col min="53" max="53" width="4.7265625" customWidth="1"/>
    <col min="54" max="54" width="16.453125" customWidth="1"/>
    <col min="55" max="55" width="19.1796875" customWidth="1"/>
    <col min="56" max="56" width="7.1796875" customWidth="1"/>
    <col min="57" max="57" width="7.453125" customWidth="1"/>
    <col min="58" max="58" width="17" customWidth="1"/>
    <col min="59" max="59" width="10.81640625" customWidth="1"/>
    <col min="60" max="60" width="10.453125" customWidth="1"/>
    <col min="66" max="66" width="4.7265625" customWidth="1"/>
    <col min="67" max="67" width="16.453125" customWidth="1"/>
    <col min="68" max="68" width="19.1796875" customWidth="1"/>
    <col min="69" max="69" width="7.1796875" customWidth="1"/>
    <col min="70" max="70" width="7.453125" customWidth="1"/>
    <col min="71" max="71" width="17" customWidth="1"/>
    <col min="72" max="72" width="10.81640625" customWidth="1"/>
    <col min="73" max="73" width="10.453125" customWidth="1"/>
    <col min="79" max="79" width="4.7265625" customWidth="1"/>
  </cols>
  <sheetData>
    <row r="2" spans="2:100" x14ac:dyDescent="0.35">
      <c r="K2" s="145" t="str">
        <f>Instructions!C17</f>
        <v>LoR Application 2025.02</v>
      </c>
    </row>
    <row r="3" spans="2:100" ht="18" customHeight="1" x14ac:dyDescent="0.35">
      <c r="B3" s="56">
        <f>'Program Info'!D34</f>
        <v>0</v>
      </c>
      <c r="C3" s="376">
        <f>'Program Info'!D9</f>
        <v>0</v>
      </c>
      <c r="D3" s="376"/>
      <c r="E3" s="376"/>
      <c r="F3" s="376"/>
      <c r="G3" s="376"/>
      <c r="H3" s="376"/>
      <c r="I3" s="376"/>
      <c r="J3" s="376"/>
      <c r="K3" s="2"/>
    </row>
    <row r="4" spans="2:100" ht="39" customHeight="1" x14ac:dyDescent="0.35">
      <c r="B4" s="265" t="str">
        <f>'Program Info'!C4</f>
        <v>Paramedic Program Abridged AEMT LoR Application/LSSR</v>
      </c>
      <c r="C4" s="265"/>
      <c r="D4" s="265"/>
      <c r="E4" s="265"/>
      <c r="F4" s="265"/>
      <c r="G4" s="265"/>
      <c r="H4" s="265"/>
      <c r="I4" s="265"/>
      <c r="J4" s="265"/>
      <c r="K4" s="265"/>
      <c r="L4" s="265"/>
      <c r="M4" s="265"/>
      <c r="N4" s="265"/>
      <c r="O4" s="265"/>
      <c r="R4" s="22"/>
      <c r="S4" s="23"/>
      <c r="T4" s="8"/>
      <c r="AA4" s="22"/>
      <c r="AB4" s="23"/>
      <c r="AC4" s="8"/>
      <c r="AG4" s="193" t="s">
        <v>219</v>
      </c>
      <c r="AH4" s="193"/>
      <c r="AI4" s="193" t="s">
        <v>226</v>
      </c>
      <c r="AJ4" s="193" t="s">
        <v>232</v>
      </c>
      <c r="AK4" s="193"/>
      <c r="AR4" s="22"/>
      <c r="AS4" s="23"/>
      <c r="AT4" s="8"/>
      <c r="BA4" s="22"/>
      <c r="BB4" s="23"/>
      <c r="BC4" s="8"/>
      <c r="BJ4" s="22"/>
      <c r="BK4" s="23"/>
      <c r="BL4" s="8"/>
      <c r="BS4" s="22"/>
      <c r="BT4" s="23"/>
      <c r="BU4" s="8"/>
      <c r="CB4" s="22"/>
      <c r="CC4" s="23"/>
      <c r="CD4" s="8"/>
      <c r="CK4" s="22"/>
      <c r="CL4" s="23"/>
      <c r="CM4" s="8"/>
      <c r="CT4" s="22"/>
      <c r="CU4" s="23"/>
      <c r="CV4" s="8"/>
    </row>
    <row r="5" spans="2:100" ht="7.5" customHeight="1" x14ac:dyDescent="0.35">
      <c r="H5" s="19"/>
      <c r="I5" s="19"/>
      <c r="J5" s="19"/>
      <c r="K5" s="18"/>
      <c r="L5" s="18"/>
      <c r="M5" s="18"/>
      <c r="N5" s="18"/>
      <c r="O5" s="18"/>
      <c r="AG5" s="193"/>
      <c r="AH5" s="193"/>
      <c r="AI5" s="193" t="s">
        <v>225</v>
      </c>
      <c r="AJ5" s="193"/>
      <c r="AK5" s="193"/>
    </row>
    <row r="6" spans="2:100" ht="12.75" customHeight="1" x14ac:dyDescent="0.35">
      <c r="H6" s="19"/>
      <c r="I6" s="19"/>
      <c r="J6" s="19"/>
      <c r="K6" s="18"/>
      <c r="L6" s="18"/>
      <c r="M6" s="18"/>
      <c r="N6" s="18"/>
      <c r="O6" s="18"/>
      <c r="V6" s="12"/>
      <c r="AG6" s="193" t="s">
        <v>220</v>
      </c>
      <c r="AH6" s="193"/>
      <c r="AI6" s="193" t="s">
        <v>230</v>
      </c>
      <c r="AJ6" s="193"/>
      <c r="AK6" s="193"/>
    </row>
    <row r="7" spans="2:100" s="144" customFormat="1" ht="24" customHeight="1" x14ac:dyDescent="0.4">
      <c r="B7" s="188" t="s">
        <v>190</v>
      </c>
      <c r="C7" s="189"/>
      <c r="D7" s="189"/>
      <c r="E7" s="189"/>
      <c r="F7" s="189"/>
      <c r="G7" s="189"/>
      <c r="H7" s="189"/>
      <c r="I7" s="189"/>
      <c r="J7" s="189"/>
      <c r="K7" s="190"/>
      <c r="L7" s="189"/>
      <c r="M7" s="189"/>
      <c r="N7" s="189"/>
      <c r="O7" s="191"/>
      <c r="X7" s="145"/>
      <c r="AB7" s="143"/>
      <c r="AK7" s="145"/>
      <c r="AO7" s="143"/>
      <c r="AX7" s="145"/>
      <c r="BB7" s="143"/>
      <c r="BK7" s="145"/>
      <c r="BO7" s="143"/>
      <c r="BX7" s="145"/>
      <c r="CD7" s="145"/>
    </row>
    <row r="8" spans="2:100" s="28" customFormat="1" x14ac:dyDescent="0.35">
      <c r="B8" s="399"/>
      <c r="C8" s="399"/>
      <c r="D8" s="399"/>
      <c r="E8" s="399"/>
      <c r="F8" s="399"/>
      <c r="O8" s="399"/>
      <c r="P8" s="399"/>
      <c r="Q8" s="399"/>
      <c r="R8" s="399"/>
      <c r="S8" s="399"/>
      <c r="AB8" s="399"/>
      <c r="AC8" s="399"/>
      <c r="AD8" s="399"/>
      <c r="AE8" s="399"/>
      <c r="AF8" s="399"/>
      <c r="AO8" s="399"/>
      <c r="AP8" s="399"/>
      <c r="AQ8" s="399"/>
      <c r="AR8" s="399"/>
      <c r="AS8" s="399"/>
      <c r="BB8" s="399"/>
      <c r="BC8" s="399"/>
      <c r="BD8" s="399"/>
      <c r="BE8" s="399"/>
      <c r="BF8" s="399"/>
      <c r="BO8" s="399"/>
      <c r="BP8" s="399"/>
      <c r="BQ8" s="399"/>
      <c r="BR8" s="399"/>
      <c r="BS8" s="399"/>
    </row>
    <row r="9" spans="2:100" s="28" customFormat="1" ht="14" x14ac:dyDescent="0.3"/>
    <row r="10" spans="2:100" s="28" customFormat="1" ht="55.5" customHeight="1" x14ac:dyDescent="0.3">
      <c r="B10" s="71" t="s">
        <v>137</v>
      </c>
      <c r="C10" s="146"/>
      <c r="D10" s="138"/>
      <c r="E10" s="138"/>
      <c r="F10" s="138"/>
      <c r="G10" s="138"/>
      <c r="H10" s="138"/>
      <c r="I10" s="138"/>
      <c r="J10" s="138"/>
      <c r="K10" s="138"/>
      <c r="L10" s="138"/>
      <c r="M10" s="102"/>
      <c r="N10" s="102"/>
      <c r="O10" s="363" t="s">
        <v>0</v>
      </c>
      <c r="P10" s="363"/>
      <c r="Q10" s="363"/>
      <c r="R10" s="102"/>
    </row>
    <row r="11" spans="2:100" s="28" customFormat="1" ht="14" x14ac:dyDescent="0.3"/>
    <row r="12" spans="2:100" s="28" customFormat="1" ht="57.75" customHeight="1" x14ac:dyDescent="0.3">
      <c r="B12" s="71" t="s">
        <v>138</v>
      </c>
    </row>
    <row r="13" spans="2:100" s="144" customFormat="1" ht="75.75" customHeight="1" x14ac:dyDescent="0.3">
      <c r="B13" s="396" t="str">
        <f>IF(AND('Program Info'!G53="No",'Program Info'!G70="No"),"By selecting 'Yes' in the box to the right, I acknowledge and attest that the AEMT program will not utilized different clinical, field experience, or capstone field internship affiliates from the Paramedic program.",IF(AND('Program Info'!G53="Yes",'Program Info'!G70="No"),"By selecting 'Yes' in the box to the right, I acknowledge and attest that the AEMT program does not utilized different clinical, field experience, or capstone field internship affiliates from the Paramedic program.",IF(AND('Program Info'!G53="No",'Program Info'!G70="Yes"),"By selecting 'Yes' in the box to the right, I verify the information presented in the corresponding data form(s) below is accurate.","By selecting 'Yes' in the box to the right, I verify the information presented in the corresponding data form(s) below is accurate.")))</f>
        <v>By selecting 'Yes' in the box to the right, I verify the information presented in the corresponding data form(s) below is accurate.</v>
      </c>
      <c r="C13" s="396"/>
      <c r="D13" s="396"/>
      <c r="E13" s="396"/>
      <c r="F13" s="396"/>
      <c r="G13" s="396"/>
      <c r="H13" s="396"/>
      <c r="I13" s="397" t="s">
        <v>4</v>
      </c>
      <c r="J13" s="397"/>
      <c r="O13" s="395"/>
      <c r="P13" s="395"/>
      <c r="Q13" s="395"/>
      <c r="R13" s="395"/>
      <c r="S13" s="395"/>
      <c r="T13" s="395"/>
      <c r="U13" s="395"/>
      <c r="AB13" s="395"/>
      <c r="AC13" s="395"/>
      <c r="AD13" s="395"/>
      <c r="AE13" s="395"/>
      <c r="AF13" s="395"/>
      <c r="AG13" s="395"/>
      <c r="AH13" s="395"/>
      <c r="AO13" s="395"/>
      <c r="AP13" s="395"/>
      <c r="AQ13" s="395"/>
      <c r="AR13" s="395"/>
      <c r="AS13" s="395"/>
      <c r="AT13" s="395"/>
      <c r="AU13" s="395"/>
      <c r="BB13" s="395"/>
      <c r="BC13" s="395"/>
      <c r="BD13" s="395"/>
      <c r="BE13" s="395"/>
      <c r="BF13" s="395"/>
      <c r="BG13" s="395"/>
      <c r="BH13" s="395"/>
      <c r="BO13" s="395"/>
      <c r="BP13" s="395"/>
      <c r="BQ13" s="395"/>
      <c r="BR13" s="395"/>
      <c r="BS13" s="395"/>
      <c r="BT13" s="395"/>
      <c r="BU13" s="395"/>
    </row>
    <row r="14" spans="2:100" s="28" customFormat="1" ht="14" x14ac:dyDescent="0.3"/>
    <row r="15" spans="2:100" s="28" customFormat="1" ht="42" customHeight="1" x14ac:dyDescent="0.3">
      <c r="B15" s="402" t="str">
        <f>IF('Program Info'!G70="No","This tab is complete.  Congratulations!!  
Please double check and send to the CoAEMSP",IF('Program Info'!G70="Yes","AEMT Clinical Affiliates",""))</f>
        <v/>
      </c>
      <c r="C15" s="402"/>
      <c r="D15" s="402"/>
      <c r="E15" s="402"/>
      <c r="F15" s="402"/>
      <c r="G15" s="402"/>
      <c r="H15" s="402"/>
    </row>
    <row r="16" spans="2:100" s="28" customFormat="1" ht="56.25" customHeight="1" x14ac:dyDescent="0.3">
      <c r="B16" s="400" t="str">
        <f>IF('Program Info'!G70="Yes","Total number of active AEMT Clinical Affiliates 
that are different from the Paramedic program
(complete the data forms below):","")</f>
        <v/>
      </c>
      <c r="C16" s="400"/>
      <c r="D16" s="400"/>
      <c r="E16" s="400"/>
      <c r="F16" s="400"/>
      <c r="H16" s="48"/>
      <c r="I16" s="32" t="str">
        <f>IF(AND('Program Info'!G70="Yes",H16=""), " &lt;=== Select from drop down list","")</f>
        <v/>
      </c>
      <c r="J16" s="187"/>
      <c r="K16" s="187"/>
      <c r="L16" s="187"/>
      <c r="M16" s="187"/>
      <c r="N16" s="187"/>
      <c r="O16" s="187"/>
      <c r="P16" s="187"/>
      <c r="Q16" s="140"/>
      <c r="R16" s="140"/>
      <c r="S16" s="140"/>
      <c r="AB16" s="401"/>
      <c r="AC16" s="401"/>
      <c r="AD16" s="401"/>
      <c r="AE16" s="401"/>
      <c r="AF16" s="401"/>
      <c r="AO16" s="401"/>
      <c r="AP16" s="401"/>
      <c r="AQ16" s="401"/>
      <c r="AR16" s="401"/>
      <c r="AS16" s="401"/>
      <c r="BB16" s="401"/>
      <c r="BC16" s="401"/>
      <c r="BD16" s="401"/>
      <c r="BE16" s="401"/>
      <c r="BF16" s="401"/>
      <c r="BO16" s="401"/>
      <c r="BP16" s="401"/>
      <c r="BQ16" s="401"/>
      <c r="BR16" s="401"/>
      <c r="BS16" s="401"/>
    </row>
    <row r="17" spans="2:94" s="28" customFormat="1" ht="14" x14ac:dyDescent="0.3"/>
    <row r="18" spans="2:94" s="28" customFormat="1" ht="45" customHeight="1" x14ac:dyDescent="0.3">
      <c r="B18" s="393" t="str">
        <f>IF(AND('Program Info'!G70="Yes",H16&lt;&gt;0),"State the program is located
according to the Program Info tab:","")</f>
        <v/>
      </c>
      <c r="C18" s="391"/>
      <c r="D18" s="391"/>
      <c r="E18" s="391"/>
      <c r="F18" s="391"/>
      <c r="G18" s="120"/>
      <c r="H18" s="167">
        <f>'Program Info'!F13</f>
        <v>0</v>
      </c>
      <c r="I18" s="112"/>
      <c r="L18" s="165"/>
      <c r="O18" s="121"/>
      <c r="P18" s="121"/>
      <c r="Q18" s="121"/>
      <c r="R18" s="121"/>
      <c r="S18" s="121"/>
      <c r="T18" s="120"/>
      <c r="U18" s="120"/>
      <c r="AB18" s="392"/>
      <c r="AC18" s="392"/>
      <c r="AD18" s="392"/>
      <c r="AE18" s="392"/>
      <c r="AF18" s="392"/>
      <c r="AG18" s="120"/>
      <c r="AH18" s="120"/>
      <c r="AO18" s="392"/>
      <c r="AP18" s="392"/>
      <c r="AQ18" s="392"/>
      <c r="AR18" s="392"/>
      <c r="AS18" s="392"/>
      <c r="AT18" s="120"/>
      <c r="AU18" s="120"/>
      <c r="BB18" s="392"/>
      <c r="BC18" s="392"/>
      <c r="BD18" s="392"/>
      <c r="BE18" s="392"/>
      <c r="BF18" s="392"/>
      <c r="BG18" s="120"/>
      <c r="BH18" s="120"/>
      <c r="BO18" s="392"/>
      <c r="BP18" s="392"/>
      <c r="BQ18" s="392"/>
      <c r="BR18" s="392"/>
      <c r="BS18" s="392"/>
      <c r="BT18" s="120"/>
      <c r="BU18" s="120"/>
    </row>
    <row r="19" spans="2:94" s="28" customFormat="1" ht="14" x14ac:dyDescent="0.3">
      <c r="K19" s="148"/>
    </row>
    <row r="20" spans="2:94" s="28" customFormat="1" ht="43.5" customHeight="1" x14ac:dyDescent="0.3">
      <c r="B20" s="393" t="str">
        <f>IF(AND('Program Info'!G70="Yes",H16&gt;=1),"Number of out of state AEMT Clinical Affiliates identfied:
(based on the data forms below)",IF(AND('Program Info'!G70="Yes",H16&lt;&gt;""),"Scroll down to complete the Capstone Field Internship 
and Field Experience Affiliate information",""))</f>
        <v/>
      </c>
      <c r="C20" s="391"/>
      <c r="D20" s="391"/>
      <c r="E20" s="391"/>
      <c r="F20" s="391"/>
      <c r="H20" s="166">
        <f>COUNTIF(I31:CB31,"Out*")</f>
        <v>0</v>
      </c>
      <c r="I20" s="106"/>
      <c r="J20" s="313" t="str">
        <f>IF(H20&lt;&gt;0, "States Identified:", "")</f>
        <v/>
      </c>
      <c r="K20" s="313"/>
      <c r="L20" s="149" t="str">
        <f>IF(OR(AND(I29&lt;&gt;"",V29&lt;&gt;"",AI29&lt;&gt;"",AV29&lt;&gt;"",BI29&lt;&gt;"",BV29&lt;&gt;"")), F34 &amp; ", " &amp; S34 &amp; ", " &amp; AF34 &amp; ", " &amp; AS34 &amp; ", " &amp; BF34 &amp; ", " &amp; BS34,IF(AND(I29&lt;&gt;"",V29="",AI29=""), F34,IF(AND(I29&lt;&gt;"",V29&lt;&gt;"",AI29=""), F34 &amp; ", " &amp; S34, "")))</f>
        <v/>
      </c>
      <c r="O20" s="140"/>
      <c r="P20" s="121"/>
      <c r="Q20" s="121"/>
      <c r="R20" s="121"/>
      <c r="S20" s="121"/>
      <c r="W20" s="121"/>
      <c r="AB20" s="380"/>
      <c r="AC20" s="394"/>
      <c r="AD20" s="394"/>
      <c r="AE20" s="394"/>
      <c r="AF20" s="394"/>
      <c r="AJ20" s="121"/>
      <c r="AO20" s="380"/>
      <c r="AP20" s="394"/>
      <c r="AQ20" s="394"/>
      <c r="AR20" s="394"/>
      <c r="AS20" s="394"/>
      <c r="AW20" s="121"/>
      <c r="BB20" s="380"/>
      <c r="BC20" s="394"/>
      <c r="BD20" s="394"/>
      <c r="BE20" s="394"/>
      <c r="BF20" s="394"/>
      <c r="BJ20" s="121"/>
      <c r="BO20" s="380"/>
      <c r="BP20" s="394"/>
      <c r="BQ20" s="394"/>
      <c r="BR20" s="394"/>
      <c r="BS20" s="394"/>
      <c r="BW20" s="121"/>
      <c r="CC20" s="121"/>
    </row>
    <row r="21" spans="2:94" s="28" customFormat="1" ht="14" x14ac:dyDescent="0.3"/>
    <row r="22" spans="2:94" s="28" customFormat="1" ht="14" x14ac:dyDescent="0.3">
      <c r="K22" s="148"/>
    </row>
    <row r="23" spans="2:94" s="28" customFormat="1" ht="43.5" customHeight="1" x14ac:dyDescent="0.3">
      <c r="B23" s="393" t="str">
        <f>IF(AND('Program Info'!G70="Yes",H16&lt;&gt;0),"Number of AEMT On-Site Liaisons 'Pending' Orientation:
(based on the data forms below)","")</f>
        <v/>
      </c>
      <c r="C23" s="391"/>
      <c r="D23" s="391"/>
      <c r="E23" s="391"/>
      <c r="F23" s="391"/>
      <c r="H23" s="166">
        <f>COUNTIF(F38:CA38,"Pend*")</f>
        <v>0</v>
      </c>
      <c r="I23" s="106"/>
      <c r="J23" s="313" t="str">
        <f>IF(H23&lt;&gt;0, "States Identified:", "")</f>
        <v/>
      </c>
      <c r="K23" s="313"/>
      <c r="L23" s="149" t="str">
        <f>IF(OR(AND(I34&lt;&gt;"",V34&lt;&gt;"",AI34&lt;&gt;"",AV34&lt;&gt;"",BI34&lt;&gt;"",BV34&lt;&gt;"")), F37 &amp; ", " &amp; S37 &amp; ", " &amp; AF37 &amp; ", " &amp; AS37 &amp; ", " &amp; BF37 &amp; ", " &amp; BS37,IF(AND(I34&lt;&gt;"",V34="",AI34=""), F37,IF(AND(I34&lt;&gt;"",V34&lt;&gt;"",AI34=""), F37 &amp; ", " &amp; S37, "")))</f>
        <v/>
      </c>
      <c r="O23" s="140"/>
      <c r="P23" s="121"/>
      <c r="Q23" s="121"/>
      <c r="R23" s="121"/>
      <c r="S23" s="121"/>
      <c r="W23" s="121"/>
      <c r="AB23" s="380"/>
      <c r="AC23" s="394"/>
      <c r="AD23" s="394"/>
      <c r="AE23" s="394"/>
      <c r="AF23" s="394"/>
      <c r="AJ23" s="121"/>
      <c r="AO23" s="380"/>
      <c r="AP23" s="394"/>
      <c r="AQ23" s="394"/>
      <c r="AR23" s="394"/>
      <c r="AS23" s="394"/>
      <c r="AW23" s="121"/>
      <c r="BB23" s="380"/>
      <c r="BC23" s="394"/>
      <c r="BD23" s="394"/>
      <c r="BE23" s="394"/>
      <c r="BF23" s="394"/>
      <c r="BJ23" s="121"/>
      <c r="BO23" s="380"/>
      <c r="BP23" s="394"/>
      <c r="BQ23" s="394"/>
      <c r="BR23" s="394"/>
      <c r="BS23" s="394"/>
      <c r="BW23" s="121"/>
      <c r="CC23" s="121"/>
    </row>
    <row r="24" spans="2:94" s="28" customFormat="1" ht="14" x14ac:dyDescent="0.3"/>
    <row r="25" spans="2:94" s="28" customFormat="1" ht="57.75" customHeight="1" x14ac:dyDescent="0.3">
      <c r="B25" s="404" t="str">
        <f>IF(AND('Program Info'!G70="Yes",H16&lt;&gt;0),"CAAHEP Standard V.B. and CoAEMSP Policy XI.D.: 
For each state in which the program has enrolled students, the program must "&amp;"document that it has successfully notified the State Office of EMS that the program has students in that state (e.g., clinical/field affiliates, distance ed students)","")</f>
        <v/>
      </c>
      <c r="C25" s="404"/>
      <c r="D25" s="404"/>
      <c r="E25" s="404"/>
      <c r="F25" s="404"/>
      <c r="G25" s="404"/>
      <c r="H25" s="404"/>
      <c r="I25" s="404"/>
    </row>
    <row r="26" spans="2:94" s="28" customFormat="1" ht="14" x14ac:dyDescent="0.3"/>
    <row r="27" spans="2:94" s="28" customFormat="1" ht="60" customHeight="1" x14ac:dyDescent="0.3">
      <c r="B27" s="405" t="str">
        <f>IF(AND('Program Info'!G70="Yes",H16&lt;&gt;0),"CoAEMSP Policy XI.C.:  
The program must have a formal relationship with a physician currently authorized to practice in "&amp;"each state where the program’s students are participating in patient care to accept responsibility for the practice of those students.","")</f>
        <v/>
      </c>
      <c r="C27" s="405"/>
      <c r="D27" s="405"/>
      <c r="E27" s="405"/>
      <c r="F27" s="405"/>
      <c r="G27" s="405"/>
      <c r="H27" s="405"/>
      <c r="I27" s="405"/>
      <c r="O27" s="406"/>
      <c r="P27" s="406"/>
      <c r="Q27" s="406"/>
      <c r="R27" s="406"/>
      <c r="S27" s="406"/>
      <c r="T27" s="406"/>
      <c r="U27" s="406"/>
      <c r="AB27" s="406"/>
      <c r="AC27" s="406"/>
      <c r="AD27" s="406"/>
      <c r="AE27" s="406"/>
      <c r="AF27" s="406"/>
      <c r="AG27" s="406"/>
      <c r="AH27" s="406"/>
      <c r="AO27" s="406"/>
      <c r="AP27" s="406"/>
      <c r="AQ27" s="406"/>
      <c r="AR27" s="406"/>
      <c r="AS27" s="406"/>
      <c r="AT27" s="406"/>
      <c r="AU27" s="406"/>
      <c r="BB27" s="406"/>
      <c r="BC27" s="406"/>
      <c r="BD27" s="406"/>
      <c r="BE27" s="406"/>
      <c r="BF27" s="406"/>
      <c r="BG27" s="406"/>
      <c r="BH27" s="406"/>
      <c r="BO27" s="406"/>
      <c r="BP27" s="406"/>
      <c r="BQ27" s="406"/>
      <c r="BR27" s="406"/>
      <c r="BS27" s="406"/>
      <c r="BT27" s="406"/>
      <c r="BU27" s="406"/>
      <c r="CG27" s="113" t="s">
        <v>139</v>
      </c>
      <c r="CH27" s="150" t="str">
        <f>IF(ISNUMBER(MATCH(1,G34:CA34,0)), "Yes", "")</f>
        <v/>
      </c>
      <c r="CI27" s="113" t="s">
        <v>140</v>
      </c>
      <c r="CJ27" s="150" t="str">
        <f>IF(ISNUMBER(MATCH(13,G34:CA34,0)), "Yes", "")</f>
        <v/>
      </c>
      <c r="CK27" s="113" t="s">
        <v>141</v>
      </c>
      <c r="CL27" s="150" t="str">
        <f>IF(ISNUMBER(MATCH(25,G34:CA34,0)), "Yes", "")</f>
        <v/>
      </c>
      <c r="CM27" s="113" t="s">
        <v>142</v>
      </c>
      <c r="CN27" s="150" t="str">
        <f>IF(ISNUMBER(MATCH(37,G34:CA34,0)), "Yes", "")</f>
        <v/>
      </c>
      <c r="CO27" s="113" t="s">
        <v>143</v>
      </c>
      <c r="CP27" s="150" t="str">
        <f>IF(ISNUMBER(MATCH(48,G34:CA34,0)), "Yes", "")</f>
        <v/>
      </c>
    </row>
    <row r="28" spans="2:94" s="28" customFormat="1" ht="14" x14ac:dyDescent="0.3">
      <c r="CG28" s="113" t="s">
        <v>144</v>
      </c>
      <c r="CH28" s="150" t="str">
        <f>IF(ISNUMBER(MATCH(2,G34:CA34,0)), "Yes", "")</f>
        <v/>
      </c>
      <c r="CI28" s="113" t="s">
        <v>145</v>
      </c>
      <c r="CJ28" s="150" t="str">
        <f>IF(ISNUMBER(MATCH(14,G34:CA34,0)), "Yes", "")</f>
        <v/>
      </c>
      <c r="CK28" s="113" t="s">
        <v>146</v>
      </c>
      <c r="CL28" s="150" t="str">
        <f>IF(ISNUMBER(MATCH(26,G34:CA34,0)), "Yes", "")</f>
        <v/>
      </c>
      <c r="CM28" s="113" t="s">
        <v>147</v>
      </c>
      <c r="CN28" s="150" t="str">
        <f>IF(ISNUMBER(MATCH(38,G34:CA34,0)), "Yes", "")</f>
        <v/>
      </c>
      <c r="CO28" s="113" t="s">
        <v>148</v>
      </c>
      <c r="CP28" s="150" t="str">
        <f>IF(ISNUMBER(MATCH(49,G34:CA34,0)), "Yes", "")</f>
        <v/>
      </c>
    </row>
    <row r="29" spans="2:94" s="28" customFormat="1" ht="18" x14ac:dyDescent="0.3">
      <c r="B29" s="403" t="str">
        <f>IF(AND($H$16&gt;=1, $H$16&lt;&gt;"Please Select"),"Active AEMT Clinical Data Form C1","")</f>
        <v/>
      </c>
      <c r="C29" s="403"/>
      <c r="D29" s="403"/>
      <c r="E29" s="403"/>
      <c r="F29" s="403"/>
      <c r="G29" s="403"/>
      <c r="H29" s="403"/>
      <c r="O29" s="403" t="str">
        <f>IF(AND($H$16&gt;=2, $H$16&lt;&gt;"Please Select"),"Active AEMT Clinical Data Form C2","")</f>
        <v/>
      </c>
      <c r="P29" s="403"/>
      <c r="Q29" s="403"/>
      <c r="R29" s="403"/>
      <c r="S29" s="403"/>
      <c r="T29" s="403"/>
      <c r="U29" s="403"/>
      <c r="AB29" s="403" t="str">
        <f>IF(AND($H$16&gt;=3, $H$16&lt;&gt;"Please Select"),"Active AEMT Clinical Data Form C3","")</f>
        <v/>
      </c>
      <c r="AC29" s="403"/>
      <c r="AD29" s="403"/>
      <c r="AE29" s="403"/>
      <c r="AF29" s="403"/>
      <c r="AG29" s="403"/>
      <c r="AH29" s="403"/>
      <c r="AO29" s="403" t="str">
        <f>IF(AND($H$16&gt;=4, $H$16&lt;&gt;"Please Select"),"Active AEMT Clinical Data Form C4","")</f>
        <v/>
      </c>
      <c r="AP29" s="403"/>
      <c r="AQ29" s="403"/>
      <c r="AR29" s="403"/>
      <c r="AS29" s="403"/>
      <c r="AT29" s="403"/>
      <c r="AU29" s="403"/>
      <c r="BB29" s="403" t="str">
        <f>IF(AND($H$16&gt;=5, $H$16&lt;&gt;"Please Select"),"Active AEMT Clinical Data Form C5","")</f>
        <v/>
      </c>
      <c r="BC29" s="403"/>
      <c r="BD29" s="403"/>
      <c r="BE29" s="403"/>
      <c r="BF29" s="403"/>
      <c r="BG29" s="403"/>
      <c r="BH29" s="403"/>
      <c r="BO29" s="403" t="str">
        <f>IF(AND($H$16&gt;=6, $H$16&lt;&gt;"Please Select"),"Active AEMT Clinical Data Form C6","")</f>
        <v/>
      </c>
      <c r="BP29" s="403"/>
      <c r="BQ29" s="403"/>
      <c r="BR29" s="403"/>
      <c r="BS29" s="403"/>
      <c r="BT29" s="403"/>
      <c r="BU29" s="403"/>
      <c r="CG29" s="113" t="s">
        <v>149</v>
      </c>
      <c r="CH29" s="150" t="str">
        <f>IF(ISNUMBER(MATCH(3,G34:CA34,0)), "Yes", "")</f>
        <v/>
      </c>
      <c r="CI29" s="113" t="s">
        <v>150</v>
      </c>
      <c r="CJ29" s="150" t="str">
        <f>IF(ISNUMBER(MATCH(15,G34:CA34,0)), "Yes", "")</f>
        <v/>
      </c>
      <c r="CK29" s="113" t="s">
        <v>151</v>
      </c>
      <c r="CL29" s="150" t="str">
        <f>IF(ISNUMBER(MATCH(27,G34:CA34,0)), "Yes", "")</f>
        <v/>
      </c>
      <c r="CM29" s="113" t="s">
        <v>152</v>
      </c>
      <c r="CN29" s="150" t="str">
        <f>IF(ISNUMBER(MATCH(39,G34:CA34,0)), "Yes", "")</f>
        <v/>
      </c>
      <c r="CO29" s="113" t="s">
        <v>153</v>
      </c>
      <c r="CP29" s="150" t="str">
        <f>IF(ISNUMBER(MATCH(50,G34:CA34,0)), "Yes", "")</f>
        <v/>
      </c>
    </row>
    <row r="30" spans="2:94" s="28" customFormat="1" ht="14" x14ac:dyDescent="0.3">
      <c r="CG30" s="151" t="s">
        <v>154</v>
      </c>
      <c r="CH30" s="150" t="str">
        <f>IF(ISNUMBER(MATCH(4,G34:CA34,0)), "Yes", "")</f>
        <v/>
      </c>
      <c r="CI30" s="113" t="s">
        <v>155</v>
      </c>
      <c r="CJ30" s="150" t="str">
        <f>IF(ISNUMBER(MATCH(16,G34:CA34,0)), "Yes", "")</f>
        <v/>
      </c>
      <c r="CK30" s="113" t="s">
        <v>156</v>
      </c>
      <c r="CL30" s="150" t="str">
        <f>IF(ISNUMBER(MATCH(28,G34:CA34,0)), "Yes", "")</f>
        <v/>
      </c>
      <c r="CM30" s="113" t="s">
        <v>157</v>
      </c>
      <c r="CN30" s="150" t="str">
        <f>IF(ISNUMBER(MATCH(40,G34:CA34,0)), "Yes", "")</f>
        <v/>
      </c>
      <c r="CO30" s="113"/>
      <c r="CP30" s="150" t="str">
        <f>IF(ISNUMBER(MATCH(51,G34:CA34,0)), "Yes", "")</f>
        <v/>
      </c>
    </row>
    <row r="31" spans="2:94" s="28" customFormat="1" ht="15" customHeight="1" x14ac:dyDescent="0.3">
      <c r="B31" s="58" t="str">
        <f>IF(AND($H$16&gt;=1, $H$16&lt;&gt;"Please Select"),"Affiliate Name:","")</f>
        <v/>
      </c>
      <c r="C31" s="398"/>
      <c r="D31" s="398"/>
      <c r="E31" s="398"/>
      <c r="F31" s="398"/>
      <c r="G31" s="120"/>
      <c r="I31" s="407" t="str">
        <f>IF(H18=F34,"",IF(AND(H18&lt;&gt;F34,F34&lt;&gt;""),"Out of State Affiliate",""))</f>
        <v/>
      </c>
      <c r="J31" s="407"/>
      <c r="K31" s="407"/>
      <c r="L31" s="407"/>
      <c r="O31" s="58" t="str">
        <f>IF(AND($H$16&gt;=2, $H$16&lt;&gt;"Please Select"),"Affiliate Name:","")</f>
        <v/>
      </c>
      <c r="P31" s="398"/>
      <c r="Q31" s="398"/>
      <c r="R31" s="398"/>
      <c r="S31" s="398"/>
      <c r="T31" s="120"/>
      <c r="V31" s="407" t="str">
        <f>IF(H18=S34,"",IF(AND(H18&lt;&gt;S34,S34&lt;&gt;""),"Out of State Affiliate",""))</f>
        <v/>
      </c>
      <c r="W31" s="407"/>
      <c r="X31" s="407"/>
      <c r="Y31" s="407"/>
      <c r="AB31" s="58" t="str">
        <f>IF(AND($H$16&gt;=3, $H$16&lt;&gt;"Please Select"),"Affiliate Name:","")</f>
        <v/>
      </c>
      <c r="AC31" s="398"/>
      <c r="AD31" s="398"/>
      <c r="AE31" s="398"/>
      <c r="AF31" s="398"/>
      <c r="AG31" s="120"/>
      <c r="AI31" s="407" t="str">
        <f>IF($H$18=AF34,"",IF(AND($H$18&lt;&gt;AF34,AF34&lt;&gt;""),"Out of State Affiliate",""))</f>
        <v/>
      </c>
      <c r="AJ31" s="407"/>
      <c r="AK31" s="407"/>
      <c r="AL31" s="407"/>
      <c r="AO31" s="58" t="str">
        <f>IF(AND($H$16&gt;=4, $H$16&lt;&gt;"Please Select"),"Affiliate Name:","")</f>
        <v/>
      </c>
      <c r="AP31" s="398"/>
      <c r="AQ31" s="398"/>
      <c r="AR31" s="398"/>
      <c r="AS31" s="398"/>
      <c r="AT31" s="120"/>
      <c r="AV31" s="407" t="str">
        <f>IF($H$18=AS34,"",IF(AND($H$18&lt;&gt;AS34,AS34&lt;&gt;""),"Out of State Affiliate",""))</f>
        <v/>
      </c>
      <c r="AW31" s="407"/>
      <c r="AX31" s="407"/>
      <c r="AY31" s="407"/>
      <c r="BB31" s="58" t="str">
        <f>IF(AND($H$16&gt;=5, $H$16&lt;&gt;"Please Select"),"Affiliate Name:","")</f>
        <v/>
      </c>
      <c r="BC31" s="398"/>
      <c r="BD31" s="398"/>
      <c r="BE31" s="398"/>
      <c r="BF31" s="398"/>
      <c r="BG31" s="120"/>
      <c r="BI31" s="407" t="str">
        <f>IF($H$18=BF34,"",IF(AND($H$18&lt;&gt;BF34,BF34&lt;&gt;""),"Out of State Affiliate",""))</f>
        <v/>
      </c>
      <c r="BJ31" s="407"/>
      <c r="BK31" s="407"/>
      <c r="BL31" s="407"/>
      <c r="BO31" s="58" t="str">
        <f>IF(AND($H$16&gt;=6, $H$16&lt;&gt;"Please Select"),"Affiliate Name:","")</f>
        <v/>
      </c>
      <c r="BP31" s="398"/>
      <c r="BQ31" s="398"/>
      <c r="BR31" s="398"/>
      <c r="BS31" s="398"/>
      <c r="BT31" s="120"/>
      <c r="BV31" s="407" t="str">
        <f>IF($H$18=BS34,"",IF(AND($H$18&lt;&gt;BS34,BS34&lt;&gt;""),"Out of State Affiliate",""))</f>
        <v/>
      </c>
      <c r="BW31" s="407"/>
      <c r="BX31" s="407"/>
      <c r="BY31" s="407"/>
      <c r="CB31" s="407"/>
      <c r="CC31" s="407"/>
      <c r="CD31" s="407"/>
      <c r="CE31" s="407"/>
      <c r="CG31" s="113" t="s">
        <v>158</v>
      </c>
      <c r="CH31" s="150" t="str">
        <f>IF(ISNUMBER(MATCH(5,G34:CA34,0)), "Yes", "")</f>
        <v/>
      </c>
      <c r="CI31" s="113" t="s">
        <v>159</v>
      </c>
      <c r="CJ31" s="150" t="str">
        <f>IF(ISNUMBER(MATCH(17,G34:CA34,0)), "Yes", "")</f>
        <v/>
      </c>
      <c r="CK31" s="113" t="s">
        <v>160</v>
      </c>
      <c r="CL31" s="150" t="str">
        <f>IF(ISNUMBER(MATCH(29,G34:CA34,0)), "Yes", "")</f>
        <v/>
      </c>
      <c r="CM31" s="113" t="s">
        <v>161</v>
      </c>
      <c r="CN31" s="150" t="str">
        <f>IF(ISNUMBER(MATCH(41,G34:CA34,0)), "Yes", "")</f>
        <v/>
      </c>
      <c r="CO31" s="113"/>
      <c r="CP31" s="113"/>
    </row>
    <row r="32" spans="2:94" s="28" customFormat="1" ht="14" x14ac:dyDescent="0.3">
      <c r="B32" s="58" t="str">
        <f>IF(AND($H$16&gt;=1, $H$16&lt;&gt;"Please Select"),"Address:","")</f>
        <v/>
      </c>
      <c r="C32" s="398"/>
      <c r="D32" s="398"/>
      <c r="E32" s="398"/>
      <c r="F32" s="398"/>
      <c r="I32" s="407"/>
      <c r="J32" s="407"/>
      <c r="K32" s="407"/>
      <c r="L32" s="407"/>
      <c r="O32" s="58" t="str">
        <f>IF(AND($H$16&gt;=2, $H$16&lt;&gt;"Please Select"),"Address:","")</f>
        <v/>
      </c>
      <c r="P32" s="398"/>
      <c r="Q32" s="398"/>
      <c r="R32" s="398"/>
      <c r="S32" s="398"/>
      <c r="V32" s="407"/>
      <c r="W32" s="407"/>
      <c r="X32" s="407"/>
      <c r="Y32" s="407"/>
      <c r="AB32" s="58" t="str">
        <f>IF(AND($H$16&gt;=3, $H$16&lt;&gt;"Please Select"),"Address:","")</f>
        <v/>
      </c>
      <c r="AC32" s="398"/>
      <c r="AD32" s="398"/>
      <c r="AE32" s="398"/>
      <c r="AF32" s="398"/>
      <c r="AI32" s="407"/>
      <c r="AJ32" s="407"/>
      <c r="AK32" s="407"/>
      <c r="AL32" s="407"/>
      <c r="AO32" s="58" t="str">
        <f>IF(AND($H$16&gt;=4, $H$16&lt;&gt;"Please Select"),"Address:","")</f>
        <v/>
      </c>
      <c r="AP32" s="398"/>
      <c r="AQ32" s="398"/>
      <c r="AR32" s="398"/>
      <c r="AS32" s="398"/>
      <c r="AV32" s="407"/>
      <c r="AW32" s="407"/>
      <c r="AX32" s="407"/>
      <c r="AY32" s="407"/>
      <c r="BB32" s="58" t="str">
        <f>IF(AND($H$16&gt;=5, $H$16&lt;&gt;"Please Select"),"Address:","")</f>
        <v/>
      </c>
      <c r="BC32" s="398"/>
      <c r="BD32" s="398"/>
      <c r="BE32" s="398"/>
      <c r="BF32" s="398"/>
      <c r="BI32" s="407"/>
      <c r="BJ32" s="407"/>
      <c r="BK32" s="407"/>
      <c r="BL32" s="407"/>
      <c r="BO32" s="58" t="str">
        <f>IF(AND($H$16&gt;=6, $H$16&lt;&gt;"Please Select"),"Address:","")</f>
        <v/>
      </c>
      <c r="BP32" s="398"/>
      <c r="BQ32" s="398"/>
      <c r="BR32" s="398"/>
      <c r="BS32" s="398"/>
      <c r="BV32" s="407"/>
      <c r="BW32" s="407"/>
      <c r="BX32" s="407"/>
      <c r="BY32" s="407"/>
      <c r="CB32" s="407"/>
      <c r="CC32" s="407"/>
      <c r="CD32" s="407"/>
      <c r="CE32" s="407"/>
      <c r="CG32" s="113" t="s">
        <v>162</v>
      </c>
      <c r="CH32" s="150" t="str">
        <f>IF(ISNUMBER(MATCH(6,G34:CA34,0)), "Yes", "")</f>
        <v/>
      </c>
      <c r="CI32" s="113" t="s">
        <v>163</v>
      </c>
      <c r="CJ32" s="150" t="str">
        <f>IF(ISNUMBER(MATCH(18,G34:CA34,0)), "Yes", "")</f>
        <v/>
      </c>
      <c r="CK32" s="113" t="s">
        <v>164</v>
      </c>
      <c r="CL32" s="150" t="str">
        <f>IF(ISNUMBER(MATCH(30,G34:CA34,0)), "Yes", "")</f>
        <v/>
      </c>
      <c r="CM32" s="113" t="s">
        <v>165</v>
      </c>
      <c r="CN32" s="150" t="str">
        <f>IF(ISNUMBER(MATCH(42,G34:CA34,0)), "Yes", "")</f>
        <v/>
      </c>
      <c r="CO32" s="113"/>
      <c r="CP32" s="113"/>
    </row>
    <row r="33" spans="2:94" s="28" customFormat="1" ht="15" customHeight="1" x14ac:dyDescent="0.3">
      <c r="B33" s="58" t="str">
        <f>IF(AND($H$16&gt;=1, $H$16&lt;&gt;"Please Select"),"Address:","")</f>
        <v/>
      </c>
      <c r="C33" s="398"/>
      <c r="D33" s="398"/>
      <c r="E33" s="398"/>
      <c r="F33" s="398"/>
      <c r="I33" s="139"/>
      <c r="J33" s="139"/>
      <c r="K33" s="139"/>
      <c r="L33" s="139"/>
      <c r="O33" s="58" t="str">
        <f>IF(AND($H$16&gt;=2, $H$16&lt;&gt;"Please Select"),"Address:","")</f>
        <v/>
      </c>
      <c r="P33" s="398"/>
      <c r="Q33" s="398"/>
      <c r="R33" s="398"/>
      <c r="S33" s="398"/>
      <c r="V33" s="139"/>
      <c r="W33" s="139"/>
      <c r="X33" s="139"/>
      <c r="Y33" s="139"/>
      <c r="AB33" s="58" t="str">
        <f>IF(AND($H$16&gt;=3, $H$16&lt;&gt;"Please Select"),"Address:","")</f>
        <v/>
      </c>
      <c r="AC33" s="398"/>
      <c r="AD33" s="398"/>
      <c r="AE33" s="398"/>
      <c r="AF33" s="398"/>
      <c r="AI33" s="139"/>
      <c r="AJ33" s="139"/>
      <c r="AK33" s="139"/>
      <c r="AL33" s="139"/>
      <c r="AO33" s="58" t="str">
        <f>IF(AND($H$16&gt;=4, $H$16&lt;&gt;"Please Select"),"Address:","")</f>
        <v/>
      </c>
      <c r="AP33" s="398"/>
      <c r="AQ33" s="398"/>
      <c r="AR33" s="398"/>
      <c r="AS33" s="398"/>
      <c r="AV33" s="139"/>
      <c r="AW33" s="139"/>
      <c r="AX33" s="139"/>
      <c r="AY33" s="139"/>
      <c r="BB33" s="58" t="str">
        <f>IF(AND($H$16&gt;=5, $H$16&lt;&gt;"Please Select"),"Address:","")</f>
        <v/>
      </c>
      <c r="BC33" s="398"/>
      <c r="BD33" s="398"/>
      <c r="BE33" s="398"/>
      <c r="BF33" s="398"/>
      <c r="BI33" s="139"/>
      <c r="BJ33" s="139"/>
      <c r="BK33" s="139"/>
      <c r="BL33" s="139"/>
      <c r="BO33" s="58" t="str">
        <f>IF(AND($H$16&gt;=6, $H$16&lt;&gt;"Please Select"),"Address:","")</f>
        <v/>
      </c>
      <c r="BP33" s="398"/>
      <c r="BQ33" s="398"/>
      <c r="BR33" s="398"/>
      <c r="BS33" s="398"/>
      <c r="BV33" s="139"/>
      <c r="BW33" s="139"/>
      <c r="BX33" s="139"/>
      <c r="BY33" s="139"/>
      <c r="CB33" s="139"/>
      <c r="CC33" s="139"/>
      <c r="CD33" s="139"/>
      <c r="CE33" s="139"/>
      <c r="CG33" s="113" t="s">
        <v>166</v>
      </c>
      <c r="CH33" s="150" t="str">
        <f>IF(ISNUMBER(MATCH(7,G34:CA34,0)), "Yes", "")</f>
        <v/>
      </c>
      <c r="CI33" s="113" t="s">
        <v>167</v>
      </c>
      <c r="CJ33" s="150" t="str">
        <f>IF(ISNUMBER(MATCH(19,G34:CA34,0)), "Yes", "")</f>
        <v/>
      </c>
      <c r="CK33" s="113" t="s">
        <v>168</v>
      </c>
      <c r="CL33" s="150" t="str">
        <f>IF(ISNUMBER(MATCH(31,G34:CA34,0)), "Yes", "")</f>
        <v/>
      </c>
      <c r="CM33" s="113" t="s">
        <v>169</v>
      </c>
      <c r="CN33" s="150" t="str">
        <f>IF(ISNUMBER(MATCH(43,G34:CA34,0)), "Yes", "")</f>
        <v/>
      </c>
      <c r="CO33" s="113"/>
      <c r="CP33" s="113"/>
    </row>
    <row r="34" spans="2:94" s="28" customFormat="1" ht="14" x14ac:dyDescent="0.3">
      <c r="B34" s="58" t="str">
        <f>IF(AND($H$16&gt;=1, $H$16&lt;&gt;"Please Select"),"City:","")</f>
        <v/>
      </c>
      <c r="C34" s="398"/>
      <c r="D34" s="398"/>
      <c r="E34" s="120" t="str">
        <f>IF(AND($H$16&gt;=1, $H$16&lt;&gt;"Please Select"),"State:","")</f>
        <v/>
      </c>
      <c r="F34" s="152"/>
      <c r="G34" s="120"/>
      <c r="O34" s="58" t="str">
        <f>IF(AND($H$16&gt;=2, $H$16&lt;&gt;"Please Select"),"City:","")</f>
        <v/>
      </c>
      <c r="P34" s="398"/>
      <c r="Q34" s="398"/>
      <c r="R34" s="120" t="str">
        <f>IF(AND($H$16&gt;=2, $H$16&lt;&gt;"Please Select"),"State:","")</f>
        <v/>
      </c>
      <c r="S34" s="152"/>
      <c r="T34" s="120"/>
      <c r="AB34" s="58" t="str">
        <f>IF(AND($H$16&gt;=3, $H$16&lt;&gt;"Please Select"),"City:","")</f>
        <v/>
      </c>
      <c r="AC34" s="398"/>
      <c r="AD34" s="398"/>
      <c r="AE34" s="120" t="str">
        <f>IF(AND($H$16&gt;=3, $H$16&lt;&gt;"Please Select"),"State:","")</f>
        <v/>
      </c>
      <c r="AF34" s="152"/>
      <c r="AG34" s="120"/>
      <c r="AO34" s="58" t="str">
        <f>IF(AND($H$16&gt;=4, $H$16&lt;&gt;"Please Select"),"City:","")</f>
        <v/>
      </c>
      <c r="AP34" s="398"/>
      <c r="AQ34" s="398"/>
      <c r="AR34" s="120" t="str">
        <f>IF(AND($H$16&gt;=4, $H$16&lt;&gt;"Please Select"),"State:","")</f>
        <v/>
      </c>
      <c r="AS34" s="152"/>
      <c r="AT34" s="120"/>
      <c r="BB34" s="58" t="str">
        <f>IF(AND($H$16&gt;=5, $H$16&lt;&gt;"Please Select"),"City:","")</f>
        <v/>
      </c>
      <c r="BC34" s="398"/>
      <c r="BD34" s="398"/>
      <c r="BE34" s="120" t="str">
        <f>IF(AND($H$16&gt;=5, $H$16&lt;&gt;"Please Select"),"State:","")</f>
        <v/>
      </c>
      <c r="BF34" s="152"/>
      <c r="BG34" s="120"/>
      <c r="BO34" s="58" t="str">
        <f>IF(AND($H$16&gt;=6, $H$16&lt;&gt;"Please Select"),"City:","")</f>
        <v/>
      </c>
      <c r="BP34" s="398"/>
      <c r="BQ34" s="398"/>
      <c r="BR34" s="120" t="str">
        <f>IF(AND($H$16&gt;=6, $H$16&lt;&gt;"Please Select"),"State:","")</f>
        <v/>
      </c>
      <c r="BS34" s="152"/>
      <c r="BT34" s="120"/>
      <c r="CG34" s="113" t="s">
        <v>170</v>
      </c>
      <c r="CH34" s="150" t="str">
        <f>IF(ISNUMBER(MATCH(8,G34:CA34,0)), "Yes", "")</f>
        <v/>
      </c>
      <c r="CI34" s="113" t="s">
        <v>171</v>
      </c>
      <c r="CJ34" s="150" t="str">
        <f>IF(ISNUMBER(MATCH(20,G34:CA34,0)), "Yes", "")</f>
        <v/>
      </c>
      <c r="CK34" s="113" t="s">
        <v>172</v>
      </c>
      <c r="CL34" s="150" t="str">
        <f>IF(ISNUMBER(MATCH(32,G34:CA34,0)), "Yes", "")</f>
        <v/>
      </c>
      <c r="CM34" s="113" t="s">
        <v>173</v>
      </c>
      <c r="CN34" s="150" t="str">
        <f>IF(ISNUMBER(MATCH(44,G34:CA34,0)), "Yes", "")</f>
        <v/>
      </c>
      <c r="CO34" s="113"/>
      <c r="CP34" s="113"/>
    </row>
    <row r="35" spans="2:94" s="28" customFormat="1" ht="20.25" customHeight="1" x14ac:dyDescent="0.3">
      <c r="B35" s="58" t="str">
        <f>IF(AND($H$16&gt;=1, $H$16&lt;&gt;"Please Select"),"Distance from program (in miles):","")</f>
        <v/>
      </c>
      <c r="D35" s="153"/>
      <c r="O35" s="58" t="str">
        <f>IF(AND($H$16&gt;=2, $H$16&lt;&gt;"Please Select"),"Distance from program (in miles):","")</f>
        <v/>
      </c>
      <c r="Q35" s="153"/>
      <c r="AB35" s="58" t="str">
        <f>IF(AND($H$16&gt;=3, $H$16&lt;&gt;"Please Select"),"Distance from program (in miles):","")</f>
        <v/>
      </c>
      <c r="AD35" s="153"/>
      <c r="AO35" s="58" t="str">
        <f>IF(AND($H$16&gt;=4, $H$16&lt;&gt;"Please Select"),"Distance from program (in miles):","")</f>
        <v/>
      </c>
      <c r="AQ35" s="153"/>
      <c r="BB35" s="58" t="str">
        <f>IF(AND($H$16&gt;=5, $H$16&lt;&gt;"Please Select"),"Distance from program (in miles):","")</f>
        <v/>
      </c>
      <c r="BD35" s="153"/>
      <c r="BO35" s="58" t="str">
        <f>IF(AND($H$16&gt;=6, $H$16&lt;&gt;"Please Select"),"Distance from program (in miles):","")</f>
        <v/>
      </c>
      <c r="BQ35" s="153"/>
      <c r="CG35" s="113" t="s">
        <v>174</v>
      </c>
      <c r="CH35" s="150" t="str">
        <f>IF(ISNUMBER(MATCH(9,G34:CA34,0)), "Yes", "")</f>
        <v/>
      </c>
      <c r="CI35" s="113" t="s">
        <v>175</v>
      </c>
      <c r="CJ35" s="150" t="str">
        <f>IF(ISNUMBER(MATCH(21,G34:CA34,0)), "Yes", "")</f>
        <v/>
      </c>
      <c r="CK35" s="113" t="s">
        <v>176</v>
      </c>
      <c r="CL35" s="150" t="str">
        <f>IF(ISNUMBER(MATCH(33,G34:CA34,0)), "Yes", "")</f>
        <v/>
      </c>
      <c r="CM35" s="113" t="s">
        <v>177</v>
      </c>
      <c r="CN35" s="150" t="str">
        <f>IF(ISNUMBER(MATCH(45,G34:CA34,0)), "Yes", "")</f>
        <v/>
      </c>
      <c r="CO35" s="113"/>
      <c r="CP35" s="113"/>
    </row>
    <row r="36" spans="2:94" s="28" customFormat="1" ht="14" x14ac:dyDescent="0.3">
      <c r="B36" s="58"/>
      <c r="O36" s="58"/>
      <c r="AB36" s="58"/>
      <c r="AO36" s="58"/>
      <c r="BB36" s="58"/>
      <c r="BO36" s="58"/>
      <c r="CG36" s="113" t="s">
        <v>178</v>
      </c>
      <c r="CH36" s="150" t="str">
        <f>IF(ISNUMBER(MATCH(10,G34:CA34,0)), "Yes", "")</f>
        <v/>
      </c>
      <c r="CI36" s="113" t="s">
        <v>179</v>
      </c>
      <c r="CJ36" s="150" t="str">
        <f>IF(ISNUMBER(MATCH(22,G34:CA34,0)), "Yes", "")</f>
        <v/>
      </c>
      <c r="CK36" s="113" t="s">
        <v>180</v>
      </c>
      <c r="CL36" s="150" t="str">
        <f>IF(ISNUMBER(MATCH(34,G34:CA34,0)), "Yes", "")</f>
        <v/>
      </c>
      <c r="CM36" s="113" t="s">
        <v>181</v>
      </c>
      <c r="CN36" s="150" t="str">
        <f>IF(ISNUMBER(MATCH(46,G34:CA34,0)), "Yes", "")</f>
        <v/>
      </c>
      <c r="CO36" s="113"/>
      <c r="CP36" s="113"/>
    </row>
    <row r="37" spans="2:94" s="121" customFormat="1" ht="29.25" customHeight="1" x14ac:dyDescent="0.3">
      <c r="B37" s="154" t="str">
        <f>IF(AND($H$16&gt;=1, $H$16&lt;&gt;"Please Select"),"Name of on-site liaison:","")</f>
        <v/>
      </c>
      <c r="D37" s="408"/>
      <c r="E37" s="408"/>
      <c r="F37" s="408"/>
      <c r="H37" s="28"/>
      <c r="O37" s="154" t="str">
        <f>IF(AND($H$16&gt;=2, $H$16&lt;&gt;"Please Select"),"Name of on-site liaison:","")</f>
        <v/>
      </c>
      <c r="Q37" s="408"/>
      <c r="R37" s="408"/>
      <c r="S37" s="408"/>
      <c r="AB37" s="154" t="str">
        <f>IF(AND($H$16&gt;=3, $H$16&lt;&gt;"Please Select"),"Name of on-site liaison:","")</f>
        <v/>
      </c>
      <c r="AD37" s="408"/>
      <c r="AE37" s="408"/>
      <c r="AF37" s="408"/>
      <c r="AO37" s="154" t="str">
        <f>IF(AND($H$16&gt;=4, $H$16&lt;&gt;"Please Select"),"Name of on-site liaison:","")</f>
        <v/>
      </c>
      <c r="AQ37" s="408"/>
      <c r="AR37" s="408"/>
      <c r="AS37" s="408"/>
      <c r="BB37" s="154" t="str">
        <f>IF(AND($H$16&gt;=5, $H$16&lt;&gt;"Please Select"),"Name of on-site liaison:","")</f>
        <v/>
      </c>
      <c r="BD37" s="408"/>
      <c r="BE37" s="408"/>
      <c r="BF37" s="408"/>
      <c r="BO37" s="154" t="str">
        <f>IF(AND($H$16&gt;=6, $H$16&lt;&gt;"Please Select"),"Name of on-site liaison:","")</f>
        <v/>
      </c>
      <c r="BQ37" s="408"/>
      <c r="BR37" s="408"/>
      <c r="BS37" s="408"/>
      <c r="CG37" s="149" t="s">
        <v>182</v>
      </c>
      <c r="CH37" s="150" t="str">
        <f>IF(ISNUMBER(MATCH(11,G34:CA34,0)), "Yes", "")</f>
        <v/>
      </c>
      <c r="CI37" s="149" t="s">
        <v>183</v>
      </c>
      <c r="CJ37" s="119" t="str">
        <f>IF(ISNUMBER(MATCH(23,G34:CA34,0)), "Yes", "")</f>
        <v/>
      </c>
      <c r="CK37" s="113" t="s">
        <v>184</v>
      </c>
      <c r="CL37" s="119" t="str">
        <f>IF(ISNUMBER(MATCH(35,G34:CA34,0)), "Yes", "")</f>
        <v/>
      </c>
      <c r="CM37" s="149" t="s">
        <v>185</v>
      </c>
      <c r="CN37" s="119" t="str">
        <f>IF(ISNUMBER(MATCH(47,G34:CA34,0)), "Yes", "")</f>
        <v/>
      </c>
      <c r="CO37" s="149"/>
      <c r="CP37" s="149"/>
    </row>
    <row r="38" spans="2:94" s="28" customFormat="1" ht="26.25" customHeight="1" x14ac:dyDescent="0.3">
      <c r="B38" s="154" t="str">
        <f>IF(AND($H$16&gt;=1, $H$16&lt;&gt;"Please Select"),"Has the on-site liaison completed orientation?","")</f>
        <v/>
      </c>
      <c r="F38" s="153"/>
      <c r="O38" s="154" t="str">
        <f>IF(AND($H$16&gt;=2, $H$16&lt;&gt;"Please Select"),"Has the on-site liaison completed orientation?","")</f>
        <v/>
      </c>
      <c r="S38" s="153"/>
      <c r="AB38" s="154" t="str">
        <f>IF(AND($H$16&gt;=3, $H$16&lt;&gt;"Please Select"),"Has the on-site liaison completed orientation?","")</f>
        <v/>
      </c>
      <c r="AF38" s="153"/>
      <c r="AO38" s="154" t="str">
        <f>IF(AND($H$16&gt;=4, $H$16&lt;&gt;"Please Select"),"Has the on-site liaison completed orientation?","")</f>
        <v/>
      </c>
      <c r="AS38" s="153"/>
      <c r="BB38" s="154" t="str">
        <f>IF(AND($H$16&gt;=5, $H$16&lt;&gt;"Please Select"),"Has the on-site liaison completed orientation?","")</f>
        <v/>
      </c>
      <c r="BF38" s="153"/>
      <c r="BO38" s="154" t="str">
        <f>IF(AND($H$16&gt;=6, $H$16&lt;&gt;"Please Select"),"Has the on-site liaison completed orientation?","")</f>
        <v/>
      </c>
      <c r="BS38" s="153"/>
      <c r="CG38" s="113" t="s">
        <v>186</v>
      </c>
      <c r="CH38" s="150" t="str">
        <f>IF(ISNUMBER(MATCH(12,G34:CA34,0)), "Yes", "")</f>
        <v/>
      </c>
      <c r="CI38" s="113" t="s">
        <v>187</v>
      </c>
      <c r="CJ38" s="150" t="str">
        <f>IF(ISNUMBER(MATCH(24,G34:CA34,0)), "Yes", "")</f>
        <v/>
      </c>
      <c r="CK38" s="113" t="s">
        <v>188</v>
      </c>
      <c r="CL38" s="150" t="str">
        <f>IF(ISNUMBER(MATCH(36,G34:CA34,0)), "Yes", "")</f>
        <v/>
      </c>
      <c r="CM38" s="113" t="s">
        <v>189</v>
      </c>
      <c r="CN38" s="150"/>
      <c r="CO38" s="113"/>
      <c r="CP38" s="113"/>
    </row>
    <row r="39" spans="2:94" s="28" customFormat="1" ht="26.25" customHeight="1" x14ac:dyDescent="0.3">
      <c r="B39" s="154" t="str">
        <f>IF($F$38="Yes","Date on-site liaison completed orientation:",IF($F$38="Pending","Date on-site liaison orientation will be completed:",""))</f>
        <v/>
      </c>
      <c r="C39" s="154"/>
      <c r="D39" s="154"/>
      <c r="E39" s="154"/>
      <c r="F39" s="155"/>
      <c r="O39" s="154" t="str">
        <f>IF(S38="Yes","Date on-site liaison completed orientation:",IF(S38="Pending","Date on-site liaison orientation will be completed:",""))</f>
        <v/>
      </c>
      <c r="P39" s="154"/>
      <c r="Q39" s="154"/>
      <c r="R39" s="154"/>
      <c r="S39" s="155"/>
      <c r="AB39" s="154" t="str">
        <f>IF(AF38="Yes","Date on-site liaison completed orientation:",IF(AF38="Pending","Date on-site liaison orientation will be completed:",""))</f>
        <v/>
      </c>
      <c r="AC39" s="154"/>
      <c r="AD39" s="154"/>
      <c r="AE39" s="154"/>
      <c r="AF39" s="155"/>
      <c r="AO39" s="154" t="str">
        <f>IF(AS38="Yes","Date on-site liaison completed orientation:",IF(AS38="Pending","Date on-site liaison orientation will be completed:",""))</f>
        <v/>
      </c>
      <c r="AP39" s="154"/>
      <c r="AQ39" s="154"/>
      <c r="AR39" s="154"/>
      <c r="AS39" s="155"/>
      <c r="BB39" s="154" t="str">
        <f>IF(BF38="Yes","Date on-site liaison completed orientation:",IF(BF38="Pending","Date on-site liaison orientation will be completed:",""))</f>
        <v/>
      </c>
      <c r="BC39" s="154"/>
      <c r="BD39" s="154"/>
      <c r="BE39" s="154"/>
      <c r="BF39" s="155"/>
      <c r="BO39" s="154" t="str">
        <f>IF(BS38="Yes","Date on-site liaison completed orientation:",IF(BS38="Pending","Date on-site liaison orientation will be completed:",""))</f>
        <v/>
      </c>
      <c r="BP39" s="154"/>
      <c r="BQ39" s="154"/>
      <c r="BR39" s="154"/>
      <c r="BS39" s="155"/>
      <c r="CG39" s="113"/>
      <c r="CH39" s="113"/>
      <c r="CI39" s="113"/>
      <c r="CJ39" s="113"/>
      <c r="CK39" s="113"/>
      <c r="CL39" s="113"/>
      <c r="CM39" s="113"/>
      <c r="CN39" s="113"/>
      <c r="CO39" s="113"/>
      <c r="CP39" s="113"/>
    </row>
    <row r="40" spans="2:94" s="28" customFormat="1" ht="14" x14ac:dyDescent="0.3">
      <c r="B40" s="58"/>
      <c r="O40" s="58"/>
      <c r="AB40" s="58"/>
      <c r="AO40" s="58"/>
      <c r="BB40" s="58"/>
      <c r="BO40" s="58"/>
    </row>
    <row r="41" spans="2:94" s="28" customFormat="1" ht="14" x14ac:dyDescent="0.3">
      <c r="B41" s="58"/>
      <c r="O41" s="58"/>
      <c r="AB41" s="58"/>
      <c r="AO41" s="58"/>
      <c r="BB41" s="58"/>
      <c r="BO41" s="58"/>
    </row>
    <row r="42" spans="2:94" s="28" customFormat="1" ht="14" x14ac:dyDescent="0.3">
      <c r="B42" s="156"/>
      <c r="G42" s="157" t="str">
        <f>IF(AND($H$16&gt;=1, $H$16&lt;&gt;"Please Select"),"&lt;=== Hover for explanations","")</f>
        <v/>
      </c>
      <c r="O42" s="156"/>
      <c r="T42" s="157" t="str">
        <f>IF(AND($H$16&gt;=2, $H$16&lt;&gt;"Please Select"),"&lt;=== Hover for explanations","")</f>
        <v/>
      </c>
      <c r="AB42" s="156"/>
      <c r="AG42" s="157" t="str">
        <f>IF(AND($H$16&gt;=3, $H$16&lt;&gt;"Please Select"),"&lt;=== Hover for explanations","")</f>
        <v/>
      </c>
      <c r="AO42" s="156"/>
      <c r="AT42" s="157" t="str">
        <f>IF(AND($H$16&gt;=4, $H$16&lt;&gt;"Please Select"),"&lt;=== Hover for explanations","")</f>
        <v/>
      </c>
      <c r="BB42" s="156"/>
      <c r="BG42" s="157" t="str">
        <f>IF(AND($H$16&gt;=5, $H$16&lt;&gt;"Please Select"),"&lt;=== Hover for explanations","")</f>
        <v/>
      </c>
      <c r="BO42" s="156"/>
      <c r="BT42" s="157" t="str">
        <f>IF(AND($H$16&gt;=6, $H$16&lt;&gt;"Please Select"),"&lt;=== Hover for explanations","")</f>
        <v/>
      </c>
    </row>
    <row r="43" spans="2:94" s="28" customFormat="1" ht="44.5" customHeight="1" x14ac:dyDescent="0.3">
      <c r="B43" s="409" t="str">
        <f>IF(AND($H$16&gt;=1, $H$16&lt;&gt;"Please Select"),"Rotation","")</f>
        <v/>
      </c>
      <c r="C43" s="409" t="str">
        <f>IF(AND($H$16&gt;=1, $H$16&lt;&gt;"Please Select"),"Average # of Patient Visits per year","")</f>
        <v/>
      </c>
      <c r="D43" s="409" t="str">
        <f>IF(AND($H$16&gt;=1, $H$16&lt;&gt;"Please Select"),"Average Hours for EACH Student","")</f>
        <v/>
      </c>
      <c r="E43" s="409"/>
      <c r="F43" s="409" t="str">
        <f>IF(AND($H$16&gt;=1, $H$16&lt;&gt;"Please Select"),"# AEMT students typically assigned simultaneously","")</f>
        <v/>
      </c>
      <c r="O43" s="409" t="str">
        <f>IF(AND($H$16&gt;=2, $H$16&lt;&gt;"Please Select"),"Rotation","")</f>
        <v/>
      </c>
      <c r="P43" s="409" t="str">
        <f>IF(AND($H$16&gt;=2, $H$16&lt;&gt;"Please Select"),"Average # of Patient Visits per year","")</f>
        <v/>
      </c>
      <c r="Q43" s="409" t="str">
        <f>IF(AND($H$16&gt;=2, $H$16&lt;&gt;"Please Select"),"Average Hours for EACH Student","")</f>
        <v/>
      </c>
      <c r="R43" s="409"/>
      <c r="S43" s="409" t="str">
        <f>IF(AND($H$16&gt;=2, $H$16&lt;&gt;"Please Select"),"# AEMT students typically assigned simultaneously","")</f>
        <v/>
      </c>
      <c r="AB43" s="409" t="str">
        <f>IF(AND($H$16&gt;=3, $H$16&lt;&gt;"Please Select"),"Rotation","")</f>
        <v/>
      </c>
      <c r="AC43" s="409" t="str">
        <f>IF(AND($H$16&gt;=3, $H$16&lt;&gt;"Please Select"),"Average # of Patient Visits per year","")</f>
        <v/>
      </c>
      <c r="AD43" s="409" t="str">
        <f>IF(AND($H$16&gt;=3, $H$16&lt;&gt;"Please Select"),"Average Hours for EACH Student","")</f>
        <v/>
      </c>
      <c r="AE43" s="409"/>
      <c r="AF43" s="409" t="str">
        <f>IF(AND($H$16&gt;=3, $H$16&lt;&gt;"Please Select"),"# AEMT students typically assigned simultaneously","")</f>
        <v/>
      </c>
      <c r="AO43" s="409" t="str">
        <f>IF(AND($H$16&gt;=4, $H$16&lt;&gt;"Please Select"),"Rotation","")</f>
        <v/>
      </c>
      <c r="AP43" s="409" t="str">
        <f>IF(AND($H$16&gt;=4, $H$16&lt;&gt;"Please Select"),"Average # of Patient Visits per year","")</f>
        <v/>
      </c>
      <c r="AQ43" s="409" t="str">
        <f>IF(AND($H$16&gt;=4, $H$16&lt;&gt;"Please Select"),"Average Hours for EACH Student","")</f>
        <v/>
      </c>
      <c r="AR43" s="409"/>
      <c r="AS43" s="409" t="str">
        <f>IF(AND($H$16&gt;=4, $H$16&lt;&gt;"Please Select"),"# AEMT students typically assigned simultaneously","")</f>
        <v/>
      </c>
      <c r="BB43" s="409" t="str">
        <f>IF(AND($H$16&gt;=5, $H$16&lt;&gt;"Please Select"),"Rotation","")</f>
        <v/>
      </c>
      <c r="BC43" s="409" t="str">
        <f>IF(AND($H$16&gt;=5, $H$16&lt;&gt;"Please Select"),"Average # of Patient Visits per year","")</f>
        <v/>
      </c>
      <c r="BD43" s="409" t="str">
        <f>IF(AND($H$16&gt;=5, $H$16&lt;&gt;"Please Select"),"Average Hours for EACH Student","")</f>
        <v/>
      </c>
      <c r="BE43" s="409"/>
      <c r="BF43" s="409" t="str">
        <f>IF(AND($H$16&gt;=5, $H$16&lt;&gt;"Please Select"),"# AEMT students typically assigned simultaneously","")</f>
        <v/>
      </c>
      <c r="BO43" s="409" t="str">
        <f>IF(AND($H$16&gt;=6, $H$16&lt;&gt;"Please Select"),"Rotation","")</f>
        <v/>
      </c>
      <c r="BP43" s="409" t="str">
        <f>IF(AND($H$16&gt;=6, $H$16&lt;&gt;"Please Select"),"Average # of Patient Visits per year","")</f>
        <v/>
      </c>
      <c r="BQ43" s="409" t="str">
        <f>IF(AND($H$16&gt;=6, $H$16&lt;&gt;"Please Select"),"Average Hours for EACH Student","")</f>
        <v/>
      </c>
      <c r="BR43" s="409"/>
      <c r="BS43" s="409" t="str">
        <f>IF(AND($H$16&gt;=6, $H$16&lt;&gt;"Please Select"),"# AEMT students typically assigned simultaneously","")</f>
        <v/>
      </c>
    </row>
    <row r="44" spans="2:94" s="28" customFormat="1" ht="14" x14ac:dyDescent="0.3">
      <c r="B44" s="409"/>
      <c r="C44" s="409"/>
      <c r="D44" s="409"/>
      <c r="E44" s="409"/>
      <c r="F44" s="409"/>
      <c r="O44" s="409"/>
      <c r="P44" s="409"/>
      <c r="Q44" s="409"/>
      <c r="R44" s="409"/>
      <c r="S44" s="409"/>
      <c r="AB44" s="409"/>
      <c r="AC44" s="409"/>
      <c r="AD44" s="409"/>
      <c r="AE44" s="409"/>
      <c r="AF44" s="409"/>
      <c r="AO44" s="409"/>
      <c r="AP44" s="409"/>
      <c r="AQ44" s="409"/>
      <c r="AR44" s="409"/>
      <c r="AS44" s="409"/>
      <c r="BB44" s="409"/>
      <c r="BC44" s="409"/>
      <c r="BD44" s="409"/>
      <c r="BE44" s="409"/>
      <c r="BF44" s="409"/>
      <c r="BO44" s="409"/>
      <c r="BP44" s="409"/>
      <c r="BQ44" s="409"/>
      <c r="BR44" s="409"/>
      <c r="BS44" s="409"/>
    </row>
    <row r="45" spans="2:94" s="28" customFormat="1" ht="33.75" customHeight="1" x14ac:dyDescent="0.3">
      <c r="B45" s="158" t="str">
        <f>IF(AND($H$16&gt;=1, $H$16&lt;&gt;"Please Select"),"Emergency Dept.","")</f>
        <v/>
      </c>
      <c r="C45" s="153"/>
      <c r="D45" s="411"/>
      <c r="E45" s="411"/>
      <c r="F45" s="153"/>
      <c r="O45" s="158" t="str">
        <f>IF(AND($H$16&gt;=2, $H$16&lt;&gt;"Please Select"),"Emergency Dept.","")</f>
        <v/>
      </c>
      <c r="P45" s="153"/>
      <c r="Q45" s="411"/>
      <c r="R45" s="411"/>
      <c r="S45" s="153"/>
      <c r="AB45" s="158" t="str">
        <f>IF(AND($H$16&gt;=3, $H$16&lt;&gt;"Please Select"),"Emergency Dept.","")</f>
        <v/>
      </c>
      <c r="AC45" s="153"/>
      <c r="AD45" s="411"/>
      <c r="AE45" s="411"/>
      <c r="AF45" s="153"/>
      <c r="AO45" s="158" t="str">
        <f>IF(AND($H$16&gt;=4, $H$16&lt;&gt;"Please Select"),"Emergency Dept.","")</f>
        <v/>
      </c>
      <c r="AP45" s="153"/>
      <c r="AQ45" s="411"/>
      <c r="AR45" s="411"/>
      <c r="AS45" s="153"/>
      <c r="BB45" s="158" t="str">
        <f>IF(AND($H$16&gt;=5, $H$16&lt;&gt;"Please Select"),"Emergency Dept.","")</f>
        <v/>
      </c>
      <c r="BC45" s="153"/>
      <c r="BD45" s="411"/>
      <c r="BE45" s="411"/>
      <c r="BF45" s="153"/>
      <c r="BO45" s="158" t="str">
        <f>IF(AND($H$16&gt;=6, $H$16&lt;&gt;"Please Select"),"Emergency Dept.","")</f>
        <v/>
      </c>
      <c r="BP45" s="153"/>
      <c r="BQ45" s="411"/>
      <c r="BR45" s="411"/>
      <c r="BS45" s="153"/>
    </row>
    <row r="46" spans="2:94" s="28" customFormat="1" ht="43.5" customHeight="1" x14ac:dyDescent="0.3">
      <c r="B46" s="158"/>
      <c r="C46" s="158"/>
      <c r="D46" s="410"/>
      <c r="E46" s="410"/>
      <c r="F46" s="158"/>
      <c r="O46" s="158"/>
      <c r="P46" s="158"/>
      <c r="Q46" s="410"/>
      <c r="R46" s="410"/>
      <c r="S46" s="158"/>
      <c r="AB46" s="158"/>
      <c r="AC46" s="158"/>
      <c r="AD46" s="410"/>
      <c r="AE46" s="410"/>
      <c r="AF46" s="158"/>
      <c r="AO46" s="158"/>
      <c r="AP46" s="158"/>
      <c r="AQ46" s="410"/>
      <c r="AR46" s="410"/>
      <c r="AS46" s="158"/>
      <c r="BB46" s="158"/>
      <c r="BC46" s="158"/>
      <c r="BD46" s="410"/>
      <c r="BE46" s="410"/>
      <c r="BF46" s="158"/>
      <c r="BO46" s="158"/>
      <c r="BP46" s="158"/>
      <c r="BQ46" s="410"/>
      <c r="BR46" s="410"/>
      <c r="BS46" s="158"/>
    </row>
    <row r="47" spans="2:94" s="28" customFormat="1" ht="49.5" customHeight="1" x14ac:dyDescent="0.3">
      <c r="B47" s="159" t="str">
        <f>IF(AND($H$16&gt;=1, $H$16&lt;&gt;"Please Select"),"Other Clinical Units Utilized","")</f>
        <v/>
      </c>
      <c r="C47" s="168" t="str">
        <f>IF(AND($H$16&gt;=1, $H$16&lt;&gt;"Please Select"),"Average # of Patient Visits per year","")</f>
        <v/>
      </c>
      <c r="D47" s="412" t="str">
        <f>IF(AND($H$16&gt;=1, $H$16&lt;&gt;"Please Select"),"Average Hours for EACH Student","")</f>
        <v/>
      </c>
      <c r="E47" s="412"/>
      <c r="O47" s="159" t="str">
        <f>IF(AND($H$16&gt;=2, $H$16&lt;&gt;"Please Select"),"Other Clinical Units Utilized","")</f>
        <v/>
      </c>
      <c r="P47" s="168" t="str">
        <f>IF(AND($H$16&gt;=2, $H$16&lt;&gt;"Please Select"),"Average # of Patient Visits per year","")</f>
        <v/>
      </c>
      <c r="Q47" s="412" t="str">
        <f>IF(AND($H$16&gt;=2, $H$16&lt;&gt;"Please Select"),"Average Hours for EACH Student","")</f>
        <v/>
      </c>
      <c r="R47" s="412"/>
      <c r="AB47" s="159" t="str">
        <f>IF(AND($H$16&gt;=3, $H$16&lt;&gt;"Please Select"),"Other Clinical Units Utilized","")</f>
        <v/>
      </c>
      <c r="AC47" s="168" t="str">
        <f>IF(AND($H$16&gt;=3, $H$16&lt;&gt;"Please Select"),"Average # of Patient Visits per year","")</f>
        <v/>
      </c>
      <c r="AD47" s="412" t="str">
        <f>IF(AND($H$16&gt;=3, $H$16&lt;&gt;"Please Select"),"Average Hours for EACH Student","")</f>
        <v/>
      </c>
      <c r="AE47" s="412"/>
      <c r="AO47" s="159" t="str">
        <f>IF(AND($H$16&gt;=4, $H$16&lt;&gt;"Please Select"),"Other Clinical Units Utilized","")</f>
        <v/>
      </c>
      <c r="AP47" s="168" t="str">
        <f>IF(AND($H$16&gt;=4, $H$16&lt;&gt;"Please Select"),"Average # of Patient Visits per year","")</f>
        <v/>
      </c>
      <c r="AQ47" s="412" t="str">
        <f>IF(AND($H$16&gt;=4, $H$16&lt;&gt;"Please Select"),"Average Hours for EACH Student","")</f>
        <v/>
      </c>
      <c r="AR47" s="412"/>
      <c r="BB47" s="159" t="str">
        <f>IF(AND($H$16&gt;=5, $H$16&lt;&gt;"Please Select"),"Other Clinical Units Utilized","")</f>
        <v/>
      </c>
      <c r="BC47" s="168" t="str">
        <f>IF(AND($H$16&gt;=5, $H$16&lt;&gt;"Please Select"),"Average # of Patient Visits per year","")</f>
        <v/>
      </c>
      <c r="BD47" s="412" t="str">
        <f>IF(AND($H$16&gt;=5, $H$16&lt;&gt;"Please Select"),"Average Hours for EACH Student","")</f>
        <v/>
      </c>
      <c r="BE47" s="412"/>
      <c r="BO47" s="159" t="str">
        <f>IF(AND($H$16&gt;=6, $H$16&lt;&gt;"Please Select"),"Other Clinical Units Utilized","")</f>
        <v/>
      </c>
      <c r="BP47" s="168" t="str">
        <f>IF(AND($H$16&gt;=6, $H$16&lt;&gt;"Please Select"),"Average # of Patient Visits per year","")</f>
        <v/>
      </c>
      <c r="BQ47" s="412" t="str">
        <f>IF(AND($H$16&gt;=6, $H$16&lt;&gt;"Please Select"),"Average Hours for EACH Student","")</f>
        <v/>
      </c>
      <c r="BR47" s="412"/>
    </row>
    <row r="48" spans="2:94" s="28" customFormat="1" ht="14" x14ac:dyDescent="0.3">
      <c r="B48" s="160"/>
      <c r="C48" s="161"/>
      <c r="D48" s="411"/>
      <c r="E48" s="411"/>
      <c r="O48" s="160"/>
      <c r="P48" s="161"/>
      <c r="Q48" s="411"/>
      <c r="R48" s="411"/>
      <c r="AB48" s="160"/>
      <c r="AC48" s="161"/>
      <c r="AD48" s="411"/>
      <c r="AE48" s="411"/>
      <c r="AO48" s="160"/>
      <c r="AP48" s="161"/>
      <c r="AQ48" s="411"/>
      <c r="AR48" s="411"/>
      <c r="BB48" s="160"/>
      <c r="BC48" s="161"/>
      <c r="BD48" s="411"/>
      <c r="BE48" s="411"/>
      <c r="BO48" s="160"/>
      <c r="BP48" s="161"/>
      <c r="BQ48" s="411"/>
      <c r="BR48" s="411"/>
    </row>
    <row r="49" spans="1:81" s="28" customFormat="1" ht="14" x14ac:dyDescent="0.3">
      <c r="B49" s="160"/>
      <c r="C49" s="161"/>
      <c r="D49" s="411"/>
      <c r="E49" s="411"/>
      <c r="O49" s="160"/>
      <c r="P49" s="161"/>
      <c r="Q49" s="411"/>
      <c r="R49" s="411"/>
      <c r="AB49" s="160"/>
      <c r="AC49" s="161"/>
      <c r="AD49" s="411"/>
      <c r="AE49" s="411"/>
      <c r="AO49" s="160"/>
      <c r="AP49" s="161"/>
      <c r="AQ49" s="411"/>
      <c r="AR49" s="411"/>
      <c r="BB49" s="160"/>
      <c r="BC49" s="161"/>
      <c r="BD49" s="411"/>
      <c r="BE49" s="411"/>
      <c r="BO49" s="160"/>
      <c r="BP49" s="161"/>
      <c r="BQ49" s="411"/>
      <c r="BR49" s="411"/>
    </row>
    <row r="50" spans="1:81" s="28" customFormat="1" ht="14" x14ac:dyDescent="0.3">
      <c r="B50" s="160"/>
      <c r="C50" s="161"/>
      <c r="D50" s="411"/>
      <c r="E50" s="411"/>
      <c r="O50" s="160"/>
      <c r="P50" s="161"/>
      <c r="Q50" s="411"/>
      <c r="R50" s="411"/>
      <c r="AB50" s="160"/>
      <c r="AC50" s="161"/>
      <c r="AD50" s="411"/>
      <c r="AE50" s="411"/>
      <c r="AO50" s="160"/>
      <c r="AP50" s="161"/>
      <c r="AQ50" s="411"/>
      <c r="AR50" s="411"/>
      <c r="BB50" s="160"/>
      <c r="BC50" s="161"/>
      <c r="BD50" s="411"/>
      <c r="BE50" s="411"/>
      <c r="BO50" s="160"/>
      <c r="BP50" s="161"/>
      <c r="BQ50" s="411"/>
      <c r="BR50" s="411"/>
    </row>
    <row r="51" spans="1:81" s="28" customFormat="1" ht="14" x14ac:dyDescent="0.3">
      <c r="B51" s="160"/>
      <c r="C51" s="161"/>
      <c r="D51" s="411"/>
      <c r="E51" s="411"/>
      <c r="O51" s="160"/>
      <c r="P51" s="161"/>
      <c r="Q51" s="411"/>
      <c r="R51" s="411"/>
      <c r="AB51" s="160"/>
      <c r="AC51" s="161"/>
      <c r="AD51" s="411"/>
      <c r="AE51" s="411"/>
      <c r="AO51" s="160"/>
      <c r="AP51" s="161"/>
      <c r="AQ51" s="411"/>
      <c r="AR51" s="411"/>
      <c r="BB51" s="160"/>
      <c r="BC51" s="161"/>
      <c r="BD51" s="411"/>
      <c r="BE51" s="411"/>
      <c r="BO51" s="160"/>
      <c r="BP51" s="161"/>
      <c r="BQ51" s="411"/>
      <c r="BR51" s="411"/>
    </row>
    <row r="52" spans="1:81" s="28" customFormat="1" ht="14" x14ac:dyDescent="0.3">
      <c r="B52" s="160"/>
      <c r="C52" s="161"/>
      <c r="D52" s="411"/>
      <c r="E52" s="411"/>
      <c r="O52" s="160"/>
      <c r="P52" s="161"/>
      <c r="Q52" s="411"/>
      <c r="R52" s="411"/>
      <c r="AB52" s="160"/>
      <c r="AC52" s="161"/>
      <c r="AD52" s="411"/>
      <c r="AE52" s="411"/>
      <c r="AO52" s="160"/>
      <c r="AP52" s="161"/>
      <c r="AQ52" s="411"/>
      <c r="AR52" s="411"/>
      <c r="BB52" s="160"/>
      <c r="BC52" s="161"/>
      <c r="BD52" s="411"/>
      <c r="BE52" s="411"/>
      <c r="BO52" s="160"/>
      <c r="BP52" s="161"/>
      <c r="BQ52" s="411"/>
      <c r="BR52" s="411"/>
    </row>
    <row r="53" spans="1:81" s="28" customFormat="1" ht="14" x14ac:dyDescent="0.3">
      <c r="B53" s="158"/>
      <c r="O53" s="158"/>
      <c r="AB53" s="158"/>
      <c r="AO53" s="158"/>
      <c r="BB53" s="158"/>
      <c r="BO53" s="158"/>
    </row>
    <row r="54" spans="1:81" s="28" customFormat="1" ht="14" x14ac:dyDescent="0.3">
      <c r="B54" s="158"/>
      <c r="O54" s="158"/>
      <c r="AB54" s="158"/>
      <c r="AO54" s="158"/>
      <c r="BB54" s="158"/>
      <c r="BO54" s="158"/>
    </row>
    <row r="55" spans="1:81" s="28" customFormat="1" ht="74.25" customHeight="1" x14ac:dyDescent="0.3">
      <c r="B55" s="269" t="str">
        <f>IF(AND($H$16&gt;=1,$H$16&lt;&gt;"Please Select",I31=""),"Place a current fully executed affiliation agreement for this active affiliate in the Application folder.  "&amp;"This document must be titled with the 'EXACT document name' and must be included as the type of file format listed below (not Word, 97-2003 [.doc], Word 2013 [.docx], or Excel [.xlsx]).",IF(AND($H$16&gt;=1,$H$16&lt;&gt;"Please Select",I31&lt;&gt;""),"Place a current fully executed affiliation agreement for this active affiliate and the State OEMS approval in the Application folder.  "&amp;"Each document must be titled with the 'EXACT document name' and must be included as the type of file format listed below (not Word, 97-2003 [.doc], Word 2013 [.docx], or Excel [.xlsx]).",""))</f>
        <v/>
      </c>
      <c r="C55" s="269"/>
      <c r="D55" s="269"/>
      <c r="E55" s="269"/>
      <c r="F55" s="269"/>
      <c r="G55" s="269"/>
      <c r="H55" s="269"/>
      <c r="I55" s="269"/>
      <c r="J55" s="269"/>
      <c r="O55" s="317" t="str">
        <f>IF(AND($H$16&gt;=2,$H$16&lt;&gt;"Please Select",V31=""),"Place a current fully executed affiliation agreement for this active affiliate in the Application folder.  "&amp;"This document must be titled with the 'EXACT document name' and must be included as the type of file format listed below (not Word, 97-2003 [.doc], Word 2013 [.docx], or Excel [.xlsx]).",IF(AND($H$16&gt;=2,$H$16&lt;&gt;"Please Select",V31&lt;&gt;""),"Place a current fully executed affiliation agreement for this active affiliate and the State OEMS approval in the Application folder.  "&amp;"Each document must be titled with the 'EXACT document name' and must be included as the type of file format listed below (not Word, 97-2003 [.doc], Word 2013 [.docx], or Excel [.xlsx]).",""))</f>
        <v/>
      </c>
      <c r="P55" s="317"/>
      <c r="Q55" s="317"/>
      <c r="R55" s="317"/>
      <c r="S55" s="317"/>
      <c r="T55" s="317"/>
      <c r="U55" s="317"/>
      <c r="V55" s="317"/>
      <c r="W55" s="317"/>
      <c r="AB55" s="317" t="str">
        <f>IF(AND($H$16&gt;=3,$H$16&lt;&gt;"Please Select",AI31=""),"Place a current fully executed affiliation agreement for this active affiliate in the Application folder.  "&amp;"This document must be titled with the 'EXACT document name' and must be included as the type of file format listed below (not Word, 97-2003 [.doc], Word 2013 [.docx], or Excel [.xlsx]).",IF(AND($H$16&gt;=3,$H$16&lt;&gt;"Please Select",AI31&lt;&gt;""),"Place a current fully executed affiliation agreement for this active affiliate and the State OEMS approval in the Application folder.  "&amp;"Each document must be titled with the 'EXACT document name' and must be included as the type of file format listed below (not Word, 97-2003 [.doc], Word 2013 [.docx], or Excel [.xlsx]).",""))</f>
        <v/>
      </c>
      <c r="AC55" s="317"/>
      <c r="AD55" s="317"/>
      <c r="AE55" s="317"/>
      <c r="AF55" s="317"/>
      <c r="AG55" s="317"/>
      <c r="AH55" s="317"/>
      <c r="AI55" s="317"/>
      <c r="AJ55" s="317"/>
      <c r="AO55" s="317" t="str">
        <f>IF(AND($H$16&gt;=4,$H$16&lt;&gt;"Please Select",AV31=""),"Place a current fully executed affiliation agreement for this active affiliate in the Application folder.  "&amp;"This document must be titled with the 'EXACT document name' and must be included as the type of file format listed below (not Word, 97-2003 [.doc], Word 2013 [.docx], or Excel [.xlsx]).",IF(AND($H$16&gt;=4,$H$16&lt;&gt;"Please Select",AV31&lt;&gt;""),"Place a current fully executed affiliation agreement for this active affiliate and the State OEMS approval in the Application folder.  "&amp;"Each document must be titled with the 'EXACT document name' and must be included as the type of file format listed below (not Word, 97-2003 [.doc], Word 2013 [.docx], or Excel [.xlsx]).",""))</f>
        <v/>
      </c>
      <c r="AP55" s="317"/>
      <c r="AQ55" s="317"/>
      <c r="AR55" s="317"/>
      <c r="AS55" s="317"/>
      <c r="AT55" s="317"/>
      <c r="AU55" s="317"/>
      <c r="AV55" s="317"/>
      <c r="AW55" s="317"/>
      <c r="BB55" s="269" t="str">
        <f>IF(AND($H$16&gt;=5,$H$16&lt;&gt;"Please Select",BI31=""),"Place a current fully executed affiliation agreement for this active affiliate in the Application folder.  "&amp;"This document must be titled with the 'EXACT document name' and must be included as the type of file format listed below (not Word, 97-2003 [.doc], Word 2013 [.docx], or Excel [.xlsx]).",IF(AND($H$16&gt;=5,$H$16&lt;&gt;"Please Select",BI31&lt;&gt;""),"Place a current fully executed affiliation agreement for this active affiliate and the State OEMS approval in the Application folder.  "&amp;"Each document must be titled with the 'EXACT document name' and must be included as the type of file format listed below (not Word, 97-2003 [.doc], Word 2013 [.docx], or Excel [.xlsx]).",""))</f>
        <v/>
      </c>
      <c r="BC55" s="269"/>
      <c r="BD55" s="269"/>
      <c r="BE55" s="269"/>
      <c r="BF55" s="269"/>
      <c r="BG55" s="269"/>
      <c r="BH55" s="269"/>
      <c r="BI55" s="269"/>
      <c r="BJ55" s="269"/>
      <c r="BO55" s="269" t="str">
        <f>IF(AND($H$16&gt;=6,$H$16&lt;&gt;"Please Select",BV31=""),"Place a current fully executed affiliation agreement for this active affiliate in the Application folder.  "&amp;"This document must be titled with the 'EXACT document name' and must be included as the type of file format listed below (not Word, 97-2003 [.doc], Word 2013 [.docx], or Excel [.xlsx]).",IF(AND($H$16&gt;=6,$H$16&lt;&gt;"Please Select",BV31&lt;&gt;""),"Place a current fully executed affiliation agreement for this active affiliate and the State OEMS approval in the Application folder.  "&amp;"Each document must be titled with the 'EXACT document name' and must be included as the type of file format listed below (not Word, 97-2003 [.doc], Word 2013 [.docx], or Excel [.xlsx]).",""))</f>
        <v/>
      </c>
      <c r="BP55" s="269"/>
      <c r="BQ55" s="269"/>
      <c r="BR55" s="269"/>
      <c r="BS55" s="269"/>
      <c r="BT55" s="269"/>
      <c r="BU55" s="269"/>
      <c r="BV55" s="269"/>
      <c r="BW55" s="269"/>
    </row>
    <row r="56" spans="1:81" s="28" customFormat="1" ht="27" customHeight="1" x14ac:dyDescent="0.3">
      <c r="C56" s="112"/>
      <c r="E56" s="270" t="str">
        <f>IF(AND($H$16&gt;=1, $H$16&lt;&gt;"Please Select"),"            Exact Document Name:","")</f>
        <v/>
      </c>
      <c r="F56" s="270"/>
      <c r="G56" s="270"/>
      <c r="H56" s="270"/>
      <c r="I56" s="270"/>
      <c r="J56" s="270"/>
      <c r="P56" s="112"/>
      <c r="R56" s="270" t="str">
        <f>IF(AND($H$16&gt;=2, $H$16&lt;&gt;"Please Select"),"            Exact Document Name:","")</f>
        <v/>
      </c>
      <c r="S56" s="270"/>
      <c r="T56" s="270"/>
      <c r="U56" s="270"/>
      <c r="V56" s="270"/>
      <c r="W56" s="270"/>
      <c r="AC56" s="112"/>
      <c r="AE56" s="270" t="str">
        <f>IF(AND($H$16&gt;=3, $H$16&lt;&gt;"Please Select"),"            Exact Document Name:","")</f>
        <v/>
      </c>
      <c r="AF56" s="270"/>
      <c r="AG56" s="270"/>
      <c r="AH56" s="270"/>
      <c r="AI56" s="270"/>
      <c r="AJ56" s="270"/>
      <c r="AP56" s="112"/>
      <c r="AR56" s="270" t="str">
        <f>IF(AND($H$16&gt;=4, $H$16&lt;&gt;"Please Select"),"            Exact Document Name:","")</f>
        <v/>
      </c>
      <c r="AS56" s="270"/>
      <c r="AT56" s="270"/>
      <c r="AU56" s="270"/>
      <c r="AV56" s="270"/>
      <c r="AW56" s="270"/>
      <c r="BC56" s="112"/>
      <c r="BE56" s="270" t="str">
        <f>IF(AND($H$16&gt;=5, $H$16&lt;&gt;"Please Select"),"            Exact Document Name:","")</f>
        <v/>
      </c>
      <c r="BF56" s="270"/>
      <c r="BG56" s="270"/>
      <c r="BH56" s="270"/>
      <c r="BI56" s="270"/>
      <c r="BJ56" s="270"/>
      <c r="BP56" s="112"/>
      <c r="BR56" s="270" t="str">
        <f>IF(AND($H$16&gt;=6, $H$16&lt;&gt;"Please Select"),"            Exact Document Name:","")</f>
        <v/>
      </c>
      <c r="BS56" s="270"/>
      <c r="BT56" s="270"/>
      <c r="BU56" s="270"/>
      <c r="BV56" s="270"/>
      <c r="BW56" s="270"/>
      <c r="CB56" s="270"/>
      <c r="CC56" s="270"/>
    </row>
    <row r="57" spans="1:81" s="28" customFormat="1" ht="29.25" customHeight="1" x14ac:dyDescent="0.3">
      <c r="B57" s="346" t="str">
        <f>IF(AND(E57&lt;&gt;"",E58&lt;&gt;""),"Automatic Links ====&gt;",IF(E57&lt;&gt;"","Automatic Link ====&gt;",""))</f>
        <v/>
      </c>
      <c r="C57" s="346"/>
      <c r="E57" s="270" t="str">
        <f>IF(AND($H$16&gt;=1, $H$16&lt;&gt;"Please Select"),"                                            21 Clinical Affiliate 01","")</f>
        <v/>
      </c>
      <c r="F57" s="270"/>
      <c r="G57" s="270"/>
      <c r="H57" s="270"/>
      <c r="I57" s="270"/>
      <c r="J57" s="270"/>
      <c r="O57" s="346" t="str">
        <f>IF(AND(R57&lt;&gt;"",R58&lt;&gt;""),"Automatic Links ====&gt;",IF(R57&lt;&gt;"","Automatic Link ====&gt;",""))</f>
        <v/>
      </c>
      <c r="P57" s="346"/>
      <c r="R57" s="270" t="str">
        <f>IF(AND($H$16&gt;=2, $H$16&lt;&gt;"Please Select"),"                                            21 Clinical Affiliate 02","")</f>
        <v/>
      </c>
      <c r="S57" s="270"/>
      <c r="T57" s="270"/>
      <c r="U57" s="270"/>
      <c r="V57" s="270"/>
      <c r="W57" s="270"/>
      <c r="AB57" s="346" t="str">
        <f>IF(AND(AE57&lt;&gt;"",AE58&lt;&gt;""),"Automatic Links ====&gt;",IF(AND(AE57&lt;&gt;"",AE58=""),"Automatic Link ====&gt;",""))</f>
        <v/>
      </c>
      <c r="AC57" s="346"/>
      <c r="AE57" s="270" t="str">
        <f>IF(AND($H$16&gt;=3, $H$16&lt;&gt;"Please Select"),"                                            21 Clinical Affiliate 03","")</f>
        <v/>
      </c>
      <c r="AF57" s="270"/>
      <c r="AG57" s="270"/>
      <c r="AH57" s="270"/>
      <c r="AI57" s="270"/>
      <c r="AJ57" s="270"/>
      <c r="AO57" s="346" t="str">
        <f>IF(AND(AR57&lt;&gt;"",AR58&lt;&gt;""),"Automatic Links ====&gt;",IF(AND(AR57&lt;&gt;"",AR58=""),"Automatic Link ====&gt;",""))</f>
        <v/>
      </c>
      <c r="AP57" s="346"/>
      <c r="AR57" s="270" t="str">
        <f>IF(AND($H$16&gt;=4, $H$16&lt;&gt;"Please Select"),"                                            21 Clinical Affiliate 04","")</f>
        <v/>
      </c>
      <c r="AS57" s="270"/>
      <c r="AT57" s="270"/>
      <c r="AU57" s="270"/>
      <c r="AV57" s="270"/>
      <c r="AW57" s="270"/>
      <c r="BB57" s="346" t="str">
        <f>IF(AND(BE57&lt;&gt;"",BE58&lt;&gt;""),"Automatic Links ====&gt;",IF(AND(BE57&lt;&gt;"",BE58=""),"Automatic Link ====&gt;",""))</f>
        <v/>
      </c>
      <c r="BC57" s="346"/>
      <c r="BE57" s="270" t="str">
        <f>IF(AND($H$16&gt;=5, $H$16&lt;&gt;"Please Select"),"                                            21 Clinical Affiliate 05","")</f>
        <v/>
      </c>
      <c r="BF57" s="270"/>
      <c r="BG57" s="270"/>
      <c r="BH57" s="270"/>
      <c r="BI57" s="270"/>
      <c r="BJ57" s="270"/>
      <c r="BO57" s="346" t="str">
        <f>IF(AND(BR57&lt;&gt;"",BR58&lt;&gt;""),"Automatic Links ====&gt;",IF(AND(BR57&lt;&gt;"",BR58=""),"Automatic Link ====&gt;",""))</f>
        <v/>
      </c>
      <c r="BP57" s="346"/>
      <c r="BR57" s="270" t="str">
        <f>IF(AND($H$16&gt;=6, $H$16&lt;&gt;"Please Select"),"                                            21 Clinical Affiliate 06","")</f>
        <v/>
      </c>
      <c r="BS57" s="270"/>
      <c r="BT57" s="270"/>
      <c r="BU57" s="270"/>
      <c r="BV57" s="270"/>
      <c r="BW57" s="270"/>
      <c r="CB57" s="270"/>
      <c r="CC57" s="270"/>
    </row>
    <row r="58" spans="1:81" s="28" customFormat="1" ht="29.25" customHeight="1" x14ac:dyDescent="0.3">
      <c r="B58" s="271"/>
      <c r="C58" s="271"/>
      <c r="E58" s="270" t="str">
        <f>IF(AND($H$16&gt;=1, $H$16&lt;&gt;"Please Select",I31&lt;&gt;""),"                                            21 State Approval 01","")</f>
        <v/>
      </c>
      <c r="F58" s="270"/>
      <c r="G58" s="270"/>
      <c r="H58" s="270"/>
      <c r="I58" s="270"/>
      <c r="J58" s="270"/>
      <c r="O58" s="271"/>
      <c r="P58" s="271"/>
      <c r="R58" s="270" t="str">
        <f>IF(AND($H$16&gt;=2, $H$16&lt;&gt;"Please Select",V31&lt;&gt;""),"                                            21 State Approval 02","")</f>
        <v/>
      </c>
      <c r="S58" s="270"/>
      <c r="T58" s="270"/>
      <c r="U58" s="270"/>
      <c r="V58" s="270"/>
      <c r="W58" s="270"/>
      <c r="AB58" s="271"/>
      <c r="AC58" s="271"/>
      <c r="AE58" s="270" t="str">
        <f>IF(AND($H$16&gt;=3, $H$16&lt;&gt;"Please Select",AI31&lt;&gt;""),"                                            21 State Approval 03","")</f>
        <v/>
      </c>
      <c r="AF58" s="270"/>
      <c r="AG58" s="270"/>
      <c r="AH58" s="270"/>
      <c r="AI58" s="270"/>
      <c r="AJ58" s="270"/>
      <c r="AO58" s="271"/>
      <c r="AP58" s="271"/>
      <c r="AR58" s="270" t="str">
        <f>IF(AND($H$16&gt;=4, $H$16&lt;&gt;"Please Select",AV31&lt;&gt;""),"                                            21 State Approval 04","")</f>
        <v/>
      </c>
      <c r="AS58" s="270"/>
      <c r="AT58" s="270"/>
      <c r="AU58" s="270"/>
      <c r="AV58" s="270"/>
      <c r="AW58" s="270"/>
      <c r="BB58" s="271"/>
      <c r="BC58" s="271"/>
      <c r="BE58" s="270" t="str">
        <f>IF(AND($H$16&gt;=5, $H$16&lt;&gt;"Please Select",BI31&lt;&gt;""),"                                            21 State Approval 05","")</f>
        <v/>
      </c>
      <c r="BF58" s="270"/>
      <c r="BG58" s="270"/>
      <c r="BH58" s="270"/>
      <c r="BI58" s="270"/>
      <c r="BJ58" s="270"/>
      <c r="BO58" s="271"/>
      <c r="BP58" s="271"/>
      <c r="BR58" s="270" t="str">
        <f>IF(AND($H$16&gt;=6, $H$16&lt;&gt;"Please Select",BV31&lt;&gt;""),"                                            21 State Approval 06","")</f>
        <v/>
      </c>
      <c r="BS58" s="270"/>
      <c r="BT58" s="270"/>
      <c r="BU58" s="270"/>
      <c r="BV58" s="270"/>
      <c r="BW58" s="270"/>
      <c r="CB58" s="270"/>
      <c r="CC58" s="270"/>
    </row>
    <row r="59" spans="1:81" s="28" customFormat="1" ht="35.25" customHeight="1" x14ac:dyDescent="0.3">
      <c r="C59" s="112"/>
      <c r="E59" s="413" t="str">
        <f>IF(AND($H$16&gt;=1, $H$16&lt;&gt;"Please Select"),"                   Type of File:     Adobe Portable Document (.pdf)","")</f>
        <v/>
      </c>
      <c r="F59" s="413"/>
      <c r="G59" s="413"/>
      <c r="H59" s="413"/>
      <c r="I59" s="413"/>
      <c r="J59" s="413"/>
      <c r="K59" s="415" t="str">
        <f>IF(AND($H$16&gt;1,$H$16&lt;&gt;"Please Select"),"Complete the next 
affiliate form to the right ==&gt;","")</f>
        <v/>
      </c>
      <c r="L59" s="415"/>
      <c r="M59" s="415"/>
      <c r="N59" s="415"/>
      <c r="P59" s="112"/>
      <c r="R59" s="413" t="str">
        <f>IF(AND($H$16&gt;=2, $H$16&lt;&gt;"Please Select"),"                   Type of File:     Adobe Portable Document (.pdf)","")</f>
        <v/>
      </c>
      <c r="S59" s="413"/>
      <c r="T59" s="413"/>
      <c r="U59" s="413"/>
      <c r="V59" s="413"/>
      <c r="W59" s="413"/>
      <c r="X59" s="414" t="str">
        <f>IF(AND($H$16=2,$H$16&lt;3),"Click here when finished to go to the next section below",IF(AND($H$16&gt;2,$H$16&lt;&gt;"Please Select"),"Complete the next 
affiliate form to the right ==&gt;",""))</f>
        <v/>
      </c>
      <c r="Y59" s="414"/>
      <c r="Z59" s="414"/>
      <c r="AA59" s="414"/>
      <c r="AC59" s="112"/>
      <c r="AE59" s="413" t="str">
        <f>IF(AND($H$16&gt;=3, $H$16&lt;&gt;"Please Select"),"                   Type of File:     Adobe Portable Document (.pdf)","")</f>
        <v/>
      </c>
      <c r="AF59" s="413"/>
      <c r="AG59" s="413"/>
      <c r="AH59" s="413"/>
      <c r="AI59" s="413"/>
      <c r="AJ59" s="413"/>
      <c r="AK59" s="414" t="str">
        <f>IF(AND($H$16=3,$H$16&lt;4),"Click here when finished to go to the next section below",IF(AND($H$16&gt;3,$H$16&lt;&gt;"Please Select"),"Complete the next 
affiliate form to the right ==&gt;",""))</f>
        <v/>
      </c>
      <c r="AL59" s="414"/>
      <c r="AM59" s="414"/>
      <c r="AN59" s="414"/>
      <c r="AP59" s="112"/>
      <c r="AR59" s="413" t="str">
        <f>IF(AND($H$16&gt;=4, $H$16&lt;&gt;"Please Select"),"                   Type of File:     Adobe Portable Document (.pdf)","")</f>
        <v/>
      </c>
      <c r="AS59" s="413"/>
      <c r="AT59" s="413"/>
      <c r="AU59" s="413"/>
      <c r="AV59" s="413"/>
      <c r="AW59" s="413"/>
      <c r="AX59" s="414" t="str">
        <f>IF(AND($H$16=4,$H$16&lt;5),"Click here when finished to go to the next section below",IF(AND($H$16&gt;4,$H$16&lt;&gt;"Please Select"),"Complete the next 
affiliate form to the right ==&gt;",""))</f>
        <v/>
      </c>
      <c r="AY59" s="414"/>
      <c r="AZ59" s="414"/>
      <c r="BA59" s="414"/>
      <c r="BC59" s="112"/>
      <c r="BE59" s="413" t="str">
        <f>IF(AND($H$16&gt;=5, $H$16&lt;&gt;"Please Select"),"                   Type of File:     Adobe Portable Document (.pdf)","")</f>
        <v/>
      </c>
      <c r="BF59" s="413"/>
      <c r="BG59" s="413"/>
      <c r="BH59" s="413"/>
      <c r="BI59" s="413"/>
      <c r="BJ59" s="413"/>
      <c r="BK59" s="414" t="str">
        <f>IF(AND($H$16=5,$H$16&lt;6),"Click here when finished to go  to the next section below",IF(AND($H$16&gt;5,$H$16&lt;&gt;"Please Select"),"Complete the next 
affiliate form to the right ==&gt;",""))</f>
        <v/>
      </c>
      <c r="BL59" s="414"/>
      <c r="BM59" s="414"/>
      <c r="BN59" s="414"/>
      <c r="BP59" s="112"/>
      <c r="BR59" s="413" t="str">
        <f>IF(AND($H$16&gt;=6, $H$16&lt;&gt;"Please Select"),"                   Type of File:     Adobe Portable Document (.pdf)","")</f>
        <v/>
      </c>
      <c r="BS59" s="413"/>
      <c r="BT59" s="413"/>
      <c r="BU59" s="413"/>
      <c r="BV59" s="413"/>
      <c r="BW59" s="413"/>
      <c r="BX59" s="414" t="str">
        <f>IF($H$16=30,"Click here when finished to go to the next section below","")</f>
        <v/>
      </c>
      <c r="BY59" s="414"/>
      <c r="BZ59" s="414"/>
      <c r="CA59" s="414"/>
      <c r="CB59" s="414"/>
    </row>
    <row r="60" spans="1:81" s="28" customFormat="1" ht="14" x14ac:dyDescent="0.3"/>
    <row r="61" spans="1:81" s="28" customFormat="1" ht="14" x14ac:dyDescent="0.3"/>
    <row r="62" spans="1:81" s="28" customFormat="1" ht="14" x14ac:dyDescent="0.3">
      <c r="A62" s="282"/>
      <c r="B62" s="282"/>
      <c r="C62" s="282"/>
      <c r="D62" s="282"/>
      <c r="E62" s="282"/>
      <c r="F62" s="282"/>
      <c r="G62" s="282"/>
      <c r="H62" s="282"/>
      <c r="I62" s="282"/>
      <c r="J62" s="282"/>
      <c r="K62" s="282"/>
      <c r="L62" s="282"/>
      <c r="M62" s="282"/>
      <c r="N62" s="282"/>
      <c r="O62" s="282"/>
      <c r="P62" s="282"/>
      <c r="Q62" s="282"/>
      <c r="R62" s="282"/>
      <c r="S62" s="282"/>
      <c r="T62" s="282"/>
      <c r="U62" s="282"/>
      <c r="V62" s="282"/>
      <c r="W62" s="282"/>
      <c r="X62" s="282"/>
      <c r="Y62" s="282"/>
      <c r="Z62" s="282"/>
      <c r="AA62" s="282"/>
      <c r="AB62" s="282"/>
      <c r="AC62" s="282"/>
      <c r="AD62" s="282"/>
      <c r="AE62" s="282"/>
      <c r="AF62" s="282"/>
      <c r="AG62" s="282"/>
      <c r="AH62" s="282"/>
      <c r="AI62" s="282"/>
      <c r="AJ62" s="282"/>
      <c r="AK62" s="282"/>
      <c r="AL62" s="282"/>
      <c r="AM62" s="282"/>
      <c r="AN62" s="282"/>
      <c r="AO62" s="282"/>
      <c r="AP62" s="282"/>
      <c r="AQ62" s="282"/>
      <c r="AR62" s="282"/>
      <c r="AS62" s="282"/>
      <c r="AT62" s="282"/>
      <c r="AU62" s="282"/>
      <c r="AV62" s="282"/>
      <c r="AW62" s="282"/>
      <c r="AX62" s="282"/>
      <c r="AY62" s="282"/>
      <c r="AZ62" s="282"/>
      <c r="BA62" s="282"/>
      <c r="BB62" s="282"/>
      <c r="BC62" s="282"/>
      <c r="BD62" s="282"/>
      <c r="BE62" s="282"/>
      <c r="BF62" s="282"/>
      <c r="BG62" s="282"/>
      <c r="BH62" s="282"/>
      <c r="BI62" s="282"/>
      <c r="BJ62" s="282"/>
      <c r="BK62" s="282"/>
      <c r="BL62" s="282"/>
      <c r="BM62" s="282"/>
      <c r="BN62" s="282"/>
      <c r="BO62" s="282"/>
      <c r="BP62" s="282"/>
      <c r="BQ62" s="282"/>
      <c r="BR62" s="282"/>
      <c r="BS62" s="282"/>
      <c r="BT62" s="282"/>
      <c r="BU62" s="282"/>
      <c r="BV62" s="282"/>
      <c r="BW62" s="282"/>
      <c r="BX62" s="282"/>
      <c r="BY62" s="282"/>
      <c r="BZ62" s="282"/>
      <c r="CA62" s="282"/>
      <c r="CB62" s="282"/>
    </row>
    <row r="63" spans="1:81" s="28" customFormat="1" ht="14" x14ac:dyDescent="0.3">
      <c r="A63" s="282"/>
      <c r="B63" s="282"/>
      <c r="C63" s="282"/>
      <c r="D63" s="282"/>
      <c r="E63" s="282"/>
      <c r="F63" s="282"/>
      <c r="G63" s="282"/>
      <c r="H63" s="282"/>
      <c r="I63" s="282"/>
      <c r="J63" s="282"/>
      <c r="K63" s="282"/>
      <c r="L63" s="282"/>
      <c r="M63" s="282"/>
      <c r="N63" s="282"/>
      <c r="O63" s="282"/>
      <c r="P63" s="282"/>
      <c r="Q63" s="282"/>
      <c r="R63" s="282"/>
      <c r="S63" s="282"/>
      <c r="T63" s="282"/>
      <c r="U63" s="282"/>
      <c r="V63" s="282"/>
      <c r="W63" s="282"/>
      <c r="X63" s="282"/>
      <c r="Y63" s="282"/>
      <c r="Z63" s="282"/>
      <c r="AA63" s="282"/>
      <c r="AB63" s="282"/>
      <c r="AC63" s="282"/>
      <c r="AD63" s="282"/>
      <c r="AE63" s="282"/>
      <c r="AF63" s="282"/>
      <c r="AG63" s="282"/>
      <c r="AH63" s="282"/>
      <c r="AI63" s="282"/>
      <c r="AJ63" s="282"/>
      <c r="AK63" s="282"/>
      <c r="AL63" s="282"/>
      <c r="AM63" s="282"/>
      <c r="AN63" s="282"/>
      <c r="AO63" s="282"/>
      <c r="AP63" s="282"/>
      <c r="AQ63" s="282"/>
      <c r="AR63" s="282"/>
      <c r="AS63" s="282"/>
      <c r="AT63" s="282"/>
      <c r="AU63" s="282"/>
      <c r="AV63" s="282"/>
      <c r="AW63" s="282"/>
      <c r="AX63" s="282"/>
      <c r="AY63" s="282"/>
      <c r="AZ63" s="282"/>
      <c r="BA63" s="282"/>
      <c r="BB63" s="282"/>
      <c r="BC63" s="282"/>
      <c r="BD63" s="282"/>
      <c r="BE63" s="282"/>
      <c r="BF63" s="282"/>
      <c r="BG63" s="282"/>
      <c r="BH63" s="282"/>
      <c r="BI63" s="282"/>
      <c r="BJ63" s="282"/>
      <c r="BK63" s="282"/>
      <c r="BL63" s="282"/>
      <c r="BM63" s="282"/>
      <c r="BN63" s="282"/>
      <c r="BO63" s="282"/>
      <c r="BP63" s="282"/>
      <c r="BQ63" s="282"/>
      <c r="BR63" s="282"/>
      <c r="BS63" s="282"/>
      <c r="BT63" s="282"/>
      <c r="BU63" s="282"/>
      <c r="BV63" s="282"/>
      <c r="BW63" s="282"/>
      <c r="BX63" s="282"/>
      <c r="BY63" s="282"/>
      <c r="BZ63" s="282"/>
      <c r="CA63" s="282"/>
      <c r="CB63" s="282"/>
    </row>
    <row r="64" spans="1:81" s="28" customFormat="1" ht="14" x14ac:dyDescent="0.3"/>
    <row r="65" spans="2:81" s="28" customFormat="1" ht="14" x14ac:dyDescent="0.3"/>
    <row r="66" spans="2:81" s="28" customFormat="1" ht="24" customHeight="1" x14ac:dyDescent="0.3">
      <c r="B66" s="416" t="str">
        <f>IF('Program Info'!G70="Yes","AEMT Capstone Field Internship Affiliates","")</f>
        <v/>
      </c>
      <c r="C66" s="416"/>
      <c r="D66" s="416"/>
      <c r="E66" s="416"/>
      <c r="F66" s="416"/>
      <c r="G66" s="416"/>
      <c r="H66" s="416"/>
    </row>
    <row r="67" spans="2:81" s="28" customFormat="1" ht="53.25" customHeight="1" x14ac:dyDescent="0.3">
      <c r="B67" s="400" t="str">
        <f>IF('Program Info'!G70="Yes","Total number of active AEMT Capstone Field Internship Affiliates program that are different from the Paramedic program   
(complete the data forms below):","")</f>
        <v/>
      </c>
      <c r="C67" s="400"/>
      <c r="D67" s="400"/>
      <c r="E67" s="400"/>
      <c r="F67" s="400"/>
      <c r="H67" s="48"/>
      <c r="I67" s="32" t="str">
        <f>IF(AND('Program Info'!G70="Yes",H67=""), " &lt;=== Select from drop down list","")</f>
        <v/>
      </c>
      <c r="O67" s="140"/>
      <c r="P67" s="140"/>
      <c r="Q67" s="140"/>
      <c r="R67" s="140"/>
      <c r="S67" s="140"/>
      <c r="AB67" s="401"/>
      <c r="AC67" s="401"/>
      <c r="AD67" s="401"/>
      <c r="AE67" s="401"/>
      <c r="AF67" s="401"/>
      <c r="AO67" s="401"/>
      <c r="AP67" s="401"/>
      <c r="AQ67" s="401"/>
      <c r="AR67" s="401"/>
      <c r="AS67" s="401"/>
      <c r="BB67" s="401"/>
      <c r="BC67" s="401"/>
      <c r="BD67" s="401"/>
      <c r="BE67" s="401"/>
      <c r="BF67" s="401"/>
      <c r="BO67" s="401"/>
      <c r="BP67" s="401"/>
      <c r="BQ67" s="401"/>
      <c r="BR67" s="401"/>
      <c r="BS67" s="401"/>
    </row>
    <row r="68" spans="2:81" s="28" customFormat="1" ht="14" x14ac:dyDescent="0.3"/>
    <row r="69" spans="2:81" s="28" customFormat="1" ht="36.75" customHeight="1" x14ac:dyDescent="0.3">
      <c r="B69" s="393" t="str">
        <f>IF(AND('Program Info'!G70="Yes",H67&lt;&gt;0),"State the program is located
according to the Program Info tab:","")</f>
        <v/>
      </c>
      <c r="C69" s="393"/>
      <c r="D69" s="393"/>
      <c r="E69" s="393"/>
      <c r="F69" s="393"/>
      <c r="G69" s="120"/>
      <c r="H69" s="183" t="str">
        <f>IF(H67&lt;&gt;0,'Program Info'!F13,"")</f>
        <v/>
      </c>
      <c r="O69" s="392"/>
      <c r="P69" s="392"/>
      <c r="Q69" s="392"/>
      <c r="R69" s="392"/>
      <c r="S69" s="392"/>
      <c r="T69" s="120"/>
      <c r="U69" s="120"/>
      <c r="AB69" s="392"/>
      <c r="AC69" s="392"/>
      <c r="AD69" s="392"/>
      <c r="AE69" s="392"/>
      <c r="AF69" s="392"/>
      <c r="AG69" s="120"/>
      <c r="AH69" s="120"/>
      <c r="AO69" s="392"/>
      <c r="AP69" s="392"/>
      <c r="AQ69" s="392"/>
      <c r="AR69" s="392"/>
      <c r="AS69" s="392"/>
      <c r="AT69" s="120"/>
      <c r="AU69" s="120"/>
      <c r="BB69" s="392"/>
      <c r="BC69" s="392"/>
      <c r="BD69" s="392"/>
      <c r="BE69" s="392"/>
      <c r="BF69" s="392"/>
      <c r="BG69" s="120"/>
      <c r="BH69" s="120"/>
      <c r="BO69" s="392"/>
      <c r="BP69" s="392"/>
      <c r="BQ69" s="392"/>
      <c r="BR69" s="392"/>
      <c r="BS69" s="392"/>
      <c r="BT69" s="120"/>
      <c r="BU69" s="120"/>
    </row>
    <row r="70" spans="2:81" s="28" customFormat="1" ht="14" x14ac:dyDescent="0.3"/>
    <row r="71" spans="2:81" s="28" customFormat="1" ht="43.5" customHeight="1" x14ac:dyDescent="0.3">
      <c r="B71" s="393" t="str">
        <f>IF(AND('Program Info'!G70="Yes",H67&gt;=1),"Number of out of state AEMT Capstone 
Field Internship Affiliates identfied:
(based on the data forms below)",IF(AND('Program Info'!G70="Yes",H67=0,H67&lt;&gt;""),"Scroll down to complete the Field Experience Affiliate information",""))</f>
        <v/>
      </c>
      <c r="C71" s="391"/>
      <c r="D71" s="391"/>
      <c r="E71" s="391"/>
      <c r="F71" s="391"/>
      <c r="H71" s="184" t="str">
        <f>IF(H67&lt;&gt;0,COUNTIF(I87:CR87,"Out*"),"")</f>
        <v/>
      </c>
      <c r="J71" s="121"/>
      <c r="O71" s="380"/>
      <c r="P71" s="394"/>
      <c r="Q71" s="394"/>
      <c r="R71" s="394"/>
      <c r="S71" s="394"/>
      <c r="W71" s="121"/>
      <c r="AB71" s="380"/>
      <c r="AC71" s="394"/>
      <c r="AD71" s="394"/>
      <c r="AE71" s="394"/>
      <c r="AF71" s="394"/>
      <c r="AJ71" s="121"/>
      <c r="AO71" s="380"/>
      <c r="AP71" s="394"/>
      <c r="AQ71" s="394"/>
      <c r="AR71" s="394"/>
      <c r="AS71" s="394"/>
      <c r="AW71" s="121"/>
      <c r="BB71" s="380"/>
      <c r="BC71" s="394"/>
      <c r="BD71" s="394"/>
      <c r="BE71" s="394"/>
      <c r="BF71" s="394"/>
      <c r="BJ71" s="121"/>
      <c r="BO71" s="380"/>
      <c r="BP71" s="394"/>
      <c r="BQ71" s="394"/>
      <c r="BR71" s="394"/>
      <c r="BS71" s="394"/>
      <c r="BW71" s="121"/>
      <c r="CC71" s="121"/>
    </row>
    <row r="72" spans="2:81" s="28" customFormat="1" ht="14" x14ac:dyDescent="0.3"/>
    <row r="73" spans="2:81" s="28" customFormat="1" ht="48" customHeight="1" x14ac:dyDescent="0.3">
      <c r="B73" s="393" t="str">
        <f>IF(AND('Program Info'!G70="Yes",H67&lt;&gt;0),"Total number of active AEMT Capstone 
Field Internship Preceptors:
(based on the data forms below)","")</f>
        <v/>
      </c>
      <c r="C73" s="393"/>
      <c r="D73" s="393"/>
      <c r="E73" s="393"/>
      <c r="F73" s="393"/>
      <c r="G73" s="140"/>
      <c r="H73" s="185" t="str">
        <f>IF(B73&lt;&gt;"", SUM(A100, N100, AA100, AN100, BA100, BN100, CA100),"")</f>
        <v/>
      </c>
    </row>
    <row r="74" spans="2:81" s="28" customFormat="1" ht="14" x14ac:dyDescent="0.3"/>
    <row r="75" spans="2:81" s="28" customFormat="1" ht="14" x14ac:dyDescent="0.3"/>
    <row r="76" spans="2:81" s="28" customFormat="1" ht="45" customHeight="1" x14ac:dyDescent="0.3">
      <c r="B76" s="393" t="str">
        <f>IF(AND('Program Info'!G70="Yes",H67&lt;&gt;0),"Total number of active Capston Field Internship Affiliates
 also utilized as active Field Experience Affiliates:
(based on the data forms below)","")</f>
        <v/>
      </c>
      <c r="C76" s="393"/>
      <c r="D76" s="393"/>
      <c r="E76" s="393"/>
      <c r="F76" s="393"/>
      <c r="G76" s="140"/>
      <c r="H76" s="185" t="str">
        <f>IF(B76&lt;&gt;"",COUNTIF(D94:CA94,"Yes"),"")</f>
        <v/>
      </c>
    </row>
    <row r="77" spans="2:81" s="28" customFormat="1" ht="14" x14ac:dyDescent="0.3"/>
    <row r="78" spans="2:81" s="28" customFormat="1" ht="43.5" customHeight="1" x14ac:dyDescent="0.3">
      <c r="B78" s="393" t="str">
        <f>IF(AND('Program Info'!G70="Yes",H67&lt;&gt;0),"Total number of Capstone Field Internship 
Preceptors 'Pending' training:
(based on the data forms below)","")</f>
        <v/>
      </c>
      <c r="C78" s="393"/>
      <c r="D78" s="393"/>
      <c r="E78" s="393"/>
      <c r="F78" s="393"/>
      <c r="G78" s="140"/>
      <c r="H78" s="185" t="str">
        <f>IF(B78&lt;&gt;"",SUM(I100, V100, AI100, AV100, BI100, BV100, CB100),"")</f>
        <v/>
      </c>
    </row>
    <row r="79" spans="2:81" s="28" customFormat="1" ht="14" x14ac:dyDescent="0.3"/>
    <row r="80" spans="2:81" s="28" customFormat="1" ht="59.25" customHeight="1" x14ac:dyDescent="0.3">
      <c r="B80" s="404" t="str">
        <f>IF(AND('Program Info'!G70="Yes",H67&lt;&gt;0),"CAAHEP Standard V.B. and CoAEMSP Policy XI.D.: 
For each state in which the program has enrolled students, the program must "&amp;"document that it has successfully notified the State Office of EMS that the program has students in that state (e.g., clinical/field affiliates, distance ed students)","")</f>
        <v/>
      </c>
      <c r="C80" s="404"/>
      <c r="D80" s="404"/>
      <c r="E80" s="404"/>
      <c r="F80" s="404"/>
      <c r="G80" s="404"/>
      <c r="H80" s="404"/>
      <c r="I80" s="404"/>
    </row>
    <row r="81" spans="2:94" s="28" customFormat="1" ht="14" x14ac:dyDescent="0.3"/>
    <row r="82" spans="2:94" s="28" customFormat="1" ht="56.25" customHeight="1" x14ac:dyDescent="0.3">
      <c r="B82" s="405" t="str">
        <f>IF(AND('Program Info'!G70="Yes",H67&lt;&gt;0),"CoAEMSP Policy XI.C.:  
The program must have a formal relationship with a physician currently authorized to practice in "&amp;"each state where the program’s students are participating in patient care to accept responsibility for the practice of those students.","")</f>
        <v/>
      </c>
      <c r="C82" s="405"/>
      <c r="D82" s="405"/>
      <c r="E82" s="405"/>
      <c r="F82" s="405"/>
      <c r="G82" s="405"/>
      <c r="H82" s="405"/>
      <c r="I82" s="405"/>
      <c r="O82" s="406"/>
      <c r="P82" s="406"/>
      <c r="Q82" s="406"/>
      <c r="R82" s="406"/>
      <c r="S82" s="406"/>
      <c r="T82" s="406"/>
      <c r="U82" s="406"/>
      <c r="AB82" s="406"/>
      <c r="AC82" s="406"/>
      <c r="AD82" s="406"/>
      <c r="AE82" s="406"/>
      <c r="AF82" s="406"/>
      <c r="AG82" s="406"/>
      <c r="AH82" s="406"/>
      <c r="AO82" s="406"/>
      <c r="AP82" s="406"/>
      <c r="AQ82" s="406"/>
      <c r="AR82" s="406"/>
      <c r="AS82" s="406"/>
      <c r="AT82" s="406"/>
      <c r="AU82" s="406"/>
      <c r="BB82" s="406"/>
      <c r="BC82" s="406"/>
      <c r="BD82" s="406"/>
      <c r="BE82" s="406"/>
      <c r="BF82" s="406"/>
      <c r="BG82" s="406"/>
      <c r="BH82" s="406"/>
      <c r="BO82" s="406"/>
      <c r="BP82" s="406"/>
      <c r="BQ82" s="406"/>
      <c r="BR82" s="406"/>
      <c r="BS82" s="406"/>
      <c r="BT82" s="406"/>
      <c r="BU82" s="406"/>
    </row>
    <row r="83" spans="2:94" s="28" customFormat="1" ht="14" x14ac:dyDescent="0.3"/>
    <row r="84" spans="2:94" s="28" customFormat="1" ht="14" x14ac:dyDescent="0.3"/>
    <row r="85" spans="2:94" s="28" customFormat="1" ht="18" x14ac:dyDescent="0.3">
      <c r="B85" s="403" t="str">
        <f>IF(AND($H$67&gt;=1, $H$67&lt;&gt;"Please Select"),"Active AEMT Capstone Field Internship Data Form CF1","")</f>
        <v/>
      </c>
      <c r="C85" s="403"/>
      <c r="D85" s="403"/>
      <c r="E85" s="403"/>
      <c r="F85" s="403"/>
      <c r="G85" s="403"/>
      <c r="H85" s="403"/>
      <c r="O85" s="403" t="str">
        <f>IF(AND($H$67&gt;=2, $H$67&lt;&gt;"Please Select"),"Active AEMT Capstone Field Internship Data Form CF2","")</f>
        <v/>
      </c>
      <c r="P85" s="403"/>
      <c r="Q85" s="403"/>
      <c r="R85" s="403"/>
      <c r="S85" s="403"/>
      <c r="T85" s="403"/>
      <c r="U85" s="403"/>
      <c r="AB85" s="403" t="str">
        <f>IF(AND($H$67&gt;=3, $H$67&lt;&gt;"Please Select"),"Active AEMT Capstone Field Internship Data Form CF3","")</f>
        <v/>
      </c>
      <c r="AC85" s="403"/>
      <c r="AD85" s="403"/>
      <c r="AE85" s="403"/>
      <c r="AF85" s="403"/>
      <c r="AG85" s="403"/>
      <c r="AH85" s="403"/>
      <c r="AO85" s="403" t="str">
        <f>IF(AND($H$67&gt;=4, $H$67&lt;&gt;"Please Select"),"Active AEMT Capstone Field Internship Data Form CF4","")</f>
        <v/>
      </c>
      <c r="AP85" s="403"/>
      <c r="AQ85" s="403"/>
      <c r="AR85" s="403"/>
      <c r="AS85" s="403"/>
      <c r="AT85" s="403"/>
      <c r="AU85" s="403"/>
      <c r="BB85" s="403" t="str">
        <f>IF(AND($H$67&gt;=5, $H$67&lt;&gt;"Please Select"),"Active AEMT Capstone Field Internship Data Form CF5","")</f>
        <v/>
      </c>
      <c r="BC85" s="403"/>
      <c r="BD85" s="403"/>
      <c r="BE85" s="403"/>
      <c r="BF85" s="403"/>
      <c r="BG85" s="403"/>
      <c r="BH85" s="403"/>
      <c r="BO85" s="403" t="str">
        <f>IF(AND($H$67&gt;=6, $H$67&lt;&gt;"Please Select"),"Active AEMT Capstone Field Internship Data Form CF6","")</f>
        <v/>
      </c>
      <c r="BP85" s="403"/>
      <c r="BQ85" s="403"/>
      <c r="BR85" s="403"/>
      <c r="BS85" s="403"/>
      <c r="BT85" s="403"/>
      <c r="BU85" s="403"/>
    </row>
    <row r="86" spans="2:94" s="28" customFormat="1" ht="14" x14ac:dyDescent="0.3"/>
    <row r="87" spans="2:94" s="28" customFormat="1" ht="15" customHeight="1" x14ac:dyDescent="0.3">
      <c r="B87" s="58" t="str">
        <f>IF(AND($H$67&gt;=1, $H$67&lt;&gt;"Please Select"),"Affiliate Name:","")</f>
        <v/>
      </c>
      <c r="C87" s="417"/>
      <c r="D87" s="417"/>
      <c r="E87" s="417"/>
      <c r="F87" s="417"/>
      <c r="G87" s="120"/>
      <c r="I87" s="407" t="str">
        <f>IF(H69=F90,"",IF(AND(H69&lt;&gt;F90,F90&lt;&gt;""),"Out of State Affiliate",""))</f>
        <v/>
      </c>
      <c r="J87" s="407"/>
      <c r="K87" s="407"/>
      <c r="L87" s="407"/>
      <c r="O87" s="58" t="str">
        <f>IF(AND($H$67&gt;=2, $H$67&lt;&gt;"Please Select"),"Affiliate Name:","")</f>
        <v/>
      </c>
      <c r="P87" s="417"/>
      <c r="Q87" s="417"/>
      <c r="R87" s="417"/>
      <c r="S87" s="417"/>
      <c r="T87" s="120"/>
      <c r="V87" s="407" t="str">
        <f>IF(H69=S90,"",IF(AND(H69&lt;&gt;S90,S90&lt;&gt;""),"Out of State Affiliate",""))</f>
        <v/>
      </c>
      <c r="W87" s="407"/>
      <c r="X87" s="407"/>
      <c r="Y87" s="407"/>
      <c r="AB87" s="58" t="str">
        <f>IF(AND($H$67&gt;=3, $H$67&lt;&gt;"Please Select"),"Affiliate Name:","")</f>
        <v/>
      </c>
      <c r="AC87" s="417"/>
      <c r="AD87" s="417"/>
      <c r="AE87" s="417"/>
      <c r="AF87" s="417"/>
      <c r="AG87" s="120"/>
      <c r="AI87" s="407" t="str">
        <f>IF(H69=AF90,"",IF(AND(H69&lt;&gt;AF90,AF90&lt;&gt;""),"Out of State Affiliate",""))</f>
        <v/>
      </c>
      <c r="AJ87" s="407"/>
      <c r="AK87" s="407"/>
      <c r="AL87" s="407"/>
      <c r="AO87" s="58" t="str">
        <f>IF(AND($H$67&gt;=4, $H$67&lt;&gt;"Please Select"),"Affiliate Name:","")</f>
        <v/>
      </c>
      <c r="AP87" s="417"/>
      <c r="AQ87" s="417"/>
      <c r="AR87" s="417"/>
      <c r="AS87" s="417"/>
      <c r="AT87" s="120"/>
      <c r="AV87" s="407" t="str">
        <f>IF(H69=AS90,"",IF(AND(H69&lt;&gt;AS90,AS90&lt;&gt;""),"Out of State Affiliate",""))</f>
        <v/>
      </c>
      <c r="AW87" s="407"/>
      <c r="AX87" s="407"/>
      <c r="AY87" s="407"/>
      <c r="BB87" s="58" t="str">
        <f>IF(AND($H$67&gt;=5, $H$67&lt;&gt;"Please Select"),"Affiliate Name:","")</f>
        <v/>
      </c>
      <c r="BC87" s="417"/>
      <c r="BD87" s="417"/>
      <c r="BE87" s="417"/>
      <c r="BF87" s="417"/>
      <c r="BG87" s="120"/>
      <c r="BI87" s="407" t="str">
        <f>IF(H69=BF90,"",IF(AND(H69&lt;&gt;BF90,BF90&lt;&gt;""),"Out of State Affiliate",""))</f>
        <v/>
      </c>
      <c r="BJ87" s="407"/>
      <c r="BK87" s="407"/>
      <c r="BL87" s="407"/>
      <c r="BO87" s="58" t="str">
        <f>IF(AND($H$67&gt;=6, $H$67&lt;&gt;"Please Select"),"Affiliate Name:","")</f>
        <v/>
      </c>
      <c r="BP87" s="417"/>
      <c r="BQ87" s="417"/>
      <c r="BR87" s="417"/>
      <c r="BS87" s="417"/>
      <c r="BT87" s="120"/>
      <c r="BV87" s="407" t="str">
        <f>IF(H69=BS90,"",IF(AND(H69&lt;&gt;BS90,BS90&lt;&gt;""),"Out of State Affiliate",""))</f>
        <v/>
      </c>
      <c r="BW87" s="407"/>
      <c r="BX87" s="407"/>
      <c r="BY87" s="407"/>
      <c r="CB87" s="407"/>
      <c r="CC87" s="407"/>
      <c r="CD87" s="407"/>
      <c r="CE87" s="407"/>
    </row>
    <row r="88" spans="2:94" s="28" customFormat="1" ht="14" x14ac:dyDescent="0.3">
      <c r="B88" s="58" t="str">
        <f>IF(AND($H$67&gt;=1, $H$67&lt;&gt;"Please Select"),"Address:","")</f>
        <v/>
      </c>
      <c r="C88" s="417"/>
      <c r="D88" s="417"/>
      <c r="E88" s="417"/>
      <c r="F88" s="417"/>
      <c r="I88" s="407"/>
      <c r="J88" s="407"/>
      <c r="K88" s="407"/>
      <c r="L88" s="407"/>
      <c r="O88" s="58" t="str">
        <f>IF(AND($H$67&gt;=2, $H$67&lt;&gt;"Please Select"),"Address:","")</f>
        <v/>
      </c>
      <c r="P88" s="417"/>
      <c r="Q88" s="417"/>
      <c r="R88" s="417"/>
      <c r="S88" s="417"/>
      <c r="V88" s="407"/>
      <c r="W88" s="407"/>
      <c r="X88" s="407"/>
      <c r="Y88" s="407"/>
      <c r="AB88" s="58" t="str">
        <f>IF(AND($H$67&gt;=3, $H$67&lt;&gt;"Please Select"),"Address:","")</f>
        <v/>
      </c>
      <c r="AC88" s="417"/>
      <c r="AD88" s="417"/>
      <c r="AE88" s="417"/>
      <c r="AF88" s="417"/>
      <c r="AI88" s="407"/>
      <c r="AJ88" s="407"/>
      <c r="AK88" s="407"/>
      <c r="AL88" s="407"/>
      <c r="AO88" s="58" t="str">
        <f>IF(AND($H$67&gt;=4, $H$67&lt;&gt;"Please Select"),"Address:","")</f>
        <v/>
      </c>
      <c r="AP88" s="417"/>
      <c r="AQ88" s="417"/>
      <c r="AR88" s="417"/>
      <c r="AS88" s="417"/>
      <c r="AV88" s="407"/>
      <c r="AW88" s="407"/>
      <c r="AX88" s="407"/>
      <c r="AY88" s="407"/>
      <c r="BB88" s="58" t="str">
        <f>IF(AND($H$67&gt;=5, $H$67&lt;&gt;"Please Select"),"Address:","")</f>
        <v/>
      </c>
      <c r="BC88" s="417"/>
      <c r="BD88" s="417"/>
      <c r="BE88" s="417"/>
      <c r="BF88" s="417"/>
      <c r="BI88" s="407"/>
      <c r="BJ88" s="407"/>
      <c r="BK88" s="407"/>
      <c r="BL88" s="407"/>
      <c r="BO88" s="58" t="str">
        <f>IF(AND($H$67&gt;=6, $H$67&lt;&gt;"Please Select"),"Address:","")</f>
        <v/>
      </c>
      <c r="BP88" s="417"/>
      <c r="BQ88" s="417"/>
      <c r="BR88" s="417"/>
      <c r="BS88" s="417"/>
      <c r="BV88" s="407"/>
      <c r="BW88" s="407"/>
      <c r="BX88" s="407"/>
      <c r="BY88" s="407"/>
      <c r="CB88" s="407"/>
      <c r="CC88" s="407"/>
      <c r="CD88" s="407"/>
      <c r="CE88" s="407"/>
    </row>
    <row r="89" spans="2:94" s="28" customFormat="1" ht="15" customHeight="1" x14ac:dyDescent="0.3">
      <c r="B89" s="58" t="str">
        <f>IF(AND($H$67&gt;=1, $H$67&lt;&gt;"Please Select"),"Address:","")</f>
        <v/>
      </c>
      <c r="C89" s="417"/>
      <c r="D89" s="417"/>
      <c r="E89" s="417"/>
      <c r="F89" s="417"/>
      <c r="I89" s="139"/>
      <c r="J89" s="139"/>
      <c r="K89" s="139"/>
      <c r="L89" s="139"/>
      <c r="O89" s="58" t="str">
        <f>IF(AND($H$67&gt;=2, $H$67&lt;&gt;"Please Select"),"Address:","")</f>
        <v/>
      </c>
      <c r="P89" s="417"/>
      <c r="Q89" s="417"/>
      <c r="R89" s="417"/>
      <c r="S89" s="417"/>
      <c r="V89" s="139"/>
      <c r="W89" s="139"/>
      <c r="X89" s="139"/>
      <c r="Y89" s="139"/>
      <c r="AB89" s="58" t="str">
        <f>IF(AND($H$67&gt;=3, $H$67&lt;&gt;"Please Select"),"Address:","")</f>
        <v/>
      </c>
      <c r="AC89" s="417"/>
      <c r="AD89" s="417"/>
      <c r="AE89" s="417"/>
      <c r="AF89" s="417"/>
      <c r="AI89" s="139"/>
      <c r="AJ89" s="139"/>
      <c r="AK89" s="139"/>
      <c r="AL89" s="139"/>
      <c r="AO89" s="58" t="str">
        <f>IF(AND($H$67&gt;=4, $H$67&lt;&gt;"Please Select"),"Address:","")</f>
        <v/>
      </c>
      <c r="AP89" s="417"/>
      <c r="AQ89" s="417"/>
      <c r="AR89" s="417"/>
      <c r="AS89" s="417"/>
      <c r="AV89" s="139"/>
      <c r="AW89" s="139"/>
      <c r="AX89" s="139"/>
      <c r="AY89" s="139"/>
      <c r="BB89" s="58" t="str">
        <f>IF(AND($H$67&gt;=5, $H$67&lt;&gt;"Please Select"),"Address:","")</f>
        <v/>
      </c>
      <c r="BC89" s="417"/>
      <c r="BD89" s="417"/>
      <c r="BE89" s="417"/>
      <c r="BF89" s="417"/>
      <c r="BI89" s="139"/>
      <c r="BJ89" s="139"/>
      <c r="BK89" s="139"/>
      <c r="BL89" s="139"/>
      <c r="BO89" s="58" t="str">
        <f>IF(AND($H$67&gt;=6, $H$67&lt;&gt;"Please Select"),"Address:","")</f>
        <v/>
      </c>
      <c r="BP89" s="417"/>
      <c r="BQ89" s="417"/>
      <c r="BR89" s="417"/>
      <c r="BS89" s="417"/>
      <c r="BV89" s="139"/>
      <c r="BW89" s="139"/>
      <c r="BX89" s="139"/>
      <c r="BY89" s="139"/>
      <c r="CB89" s="139"/>
      <c r="CC89" s="139"/>
      <c r="CD89" s="139"/>
      <c r="CE89" s="139"/>
    </row>
    <row r="90" spans="2:94" s="28" customFormat="1" ht="14" x14ac:dyDescent="0.3">
      <c r="B90" s="58" t="str">
        <f>IF(AND($H$67&gt;=1, $H$67&lt;&gt;"Please Select"),"City:","")</f>
        <v/>
      </c>
      <c r="C90" s="417"/>
      <c r="D90" s="417"/>
      <c r="E90" s="120" t="str">
        <f>IF(AND($H$67&gt;=1, $H$67&lt;&gt;"Please Select"),"State:","")</f>
        <v/>
      </c>
      <c r="F90" s="152"/>
      <c r="G90" s="120"/>
      <c r="O90" s="58" t="str">
        <f>IF(AND($H$67&gt;=2, $H$67&lt;&gt;"Please Select"),"City:","")</f>
        <v/>
      </c>
      <c r="P90" s="417"/>
      <c r="Q90" s="417"/>
      <c r="R90" s="120" t="str">
        <f>IF(AND($H$67&gt;=2, $H$67&lt;&gt;"Please Select"),"State:","")</f>
        <v/>
      </c>
      <c r="S90" s="152"/>
      <c r="T90" s="120"/>
      <c r="AB90" s="58" t="str">
        <f>IF(AND($H$67&gt;=3, $H$67&lt;&gt;"Please Select"),"City:","")</f>
        <v/>
      </c>
      <c r="AC90" s="417"/>
      <c r="AD90" s="417"/>
      <c r="AE90" s="120" t="str">
        <f>IF(AND($H$67&gt;=3, $H$67&lt;&gt;"Please Select"),"State:","")</f>
        <v/>
      </c>
      <c r="AF90" s="152"/>
      <c r="AG90" s="120"/>
      <c r="AO90" s="58" t="str">
        <f>IF(AND($H$67&gt;=4, $H$67&lt;&gt;"Please Select"),"City:","")</f>
        <v/>
      </c>
      <c r="AP90" s="417"/>
      <c r="AQ90" s="417"/>
      <c r="AR90" s="120" t="str">
        <f>IF(AND($H$67&gt;=4, $H$67&lt;&gt;"Please Select"),"State:","")</f>
        <v/>
      </c>
      <c r="AS90" s="152"/>
      <c r="AT90" s="120"/>
      <c r="BB90" s="58" t="str">
        <f>IF(AND($H$67&gt;=5, $H$67&lt;&gt;"Please Select"),"City:","")</f>
        <v/>
      </c>
      <c r="BC90" s="417"/>
      <c r="BD90" s="417"/>
      <c r="BE90" s="120" t="str">
        <f>IF(AND($H$67&gt;=5, $H$67&lt;&gt;"Please Select"),"State:","")</f>
        <v/>
      </c>
      <c r="BF90" s="152"/>
      <c r="BG90" s="120"/>
      <c r="BO90" s="58" t="str">
        <f>IF(AND($H$67&gt;=6, $H$67&lt;&gt;"Please Select"),"City:","")</f>
        <v/>
      </c>
      <c r="BP90" s="417"/>
      <c r="BQ90" s="417"/>
      <c r="BR90" s="120" t="str">
        <f>IF(AND($H$67&gt;=6, $H$67&lt;&gt;"Please Select"),"State:","")</f>
        <v/>
      </c>
      <c r="BS90" s="152"/>
      <c r="BT90" s="120"/>
    </row>
    <row r="91" spans="2:94" s="28" customFormat="1" ht="20.25" customHeight="1" x14ac:dyDescent="0.3">
      <c r="B91" s="58" t="str">
        <f>IF(AND($H$67&gt;=1, $H$67&lt;&gt;"Please Select"),"Distance from program (in miles):","")</f>
        <v/>
      </c>
      <c r="D91" s="153"/>
      <c r="O91" s="58" t="str">
        <f>IF(AND($H$67&gt;=2, $H$67&lt;&gt;"Please Select"),"Distance from program (in miles):","")</f>
        <v/>
      </c>
      <c r="Q91" s="153"/>
      <c r="AB91" s="58" t="str">
        <f>IF(AND($H$67&gt;=3, $H$67&lt;&gt;"Please Select"),"Distance from program (in miles):","")</f>
        <v/>
      </c>
      <c r="AD91" s="153"/>
      <c r="AO91" s="58" t="str">
        <f>IF(AND($H$67&gt;=4, $H$67&lt;&gt;"Please Select"),"Distance from program (in miles):","")</f>
        <v/>
      </c>
      <c r="AQ91" s="153"/>
      <c r="BB91" s="58" t="str">
        <f>IF(AND($H$67&gt;=5, $H$67&lt;&gt;"Please Select"),"Distance from program (in miles):","")</f>
        <v/>
      </c>
      <c r="BD91" s="153"/>
      <c r="BO91" s="58" t="str">
        <f>IF(AND($H$67&gt;=6, $H$67&lt;&gt;"Please Select"),"Distance from program (in miles):","")</f>
        <v/>
      </c>
      <c r="BQ91" s="153"/>
    </row>
    <row r="92" spans="2:94" s="28" customFormat="1" ht="14" x14ac:dyDescent="0.3">
      <c r="B92" s="58"/>
      <c r="O92" s="58"/>
      <c r="AB92" s="58"/>
      <c r="AO92" s="58"/>
      <c r="BB92" s="58"/>
      <c r="BO92" s="58"/>
    </row>
    <row r="93" spans="2:94" s="28" customFormat="1" ht="14" x14ac:dyDescent="0.3">
      <c r="B93" s="58"/>
      <c r="O93" s="58"/>
      <c r="AB93" s="58"/>
      <c r="AO93" s="58"/>
      <c r="BB93" s="58"/>
      <c r="BO93" s="58"/>
    </row>
    <row r="94" spans="2:94" s="28" customFormat="1" ht="33.75" customHeight="1" x14ac:dyDescent="0.3">
      <c r="B94" s="418" t="str">
        <f>IF(AND($H$67&gt;=1, $H$67&lt;&gt;"Please Select"),"Is this site also utilized for field experience?","")</f>
        <v/>
      </c>
      <c r="C94" s="418"/>
      <c r="D94" s="419"/>
      <c r="E94" s="419"/>
      <c r="I94" s="121"/>
      <c r="O94" s="418" t="str">
        <f>IF(AND($H$67&gt;=2, $H$67&lt;&gt;"Please Select"),"Is this site also utilized for field experience?","")</f>
        <v/>
      </c>
      <c r="P94" s="418"/>
      <c r="Q94" s="419"/>
      <c r="R94" s="419"/>
      <c r="S94" s="121"/>
      <c r="AB94" s="418" t="str">
        <f>IF(AND($H$67&gt;=3, $H$67&lt;&gt;"Please Select"),"Is this site also utilized for field experience?","")</f>
        <v/>
      </c>
      <c r="AC94" s="418"/>
      <c r="AD94" s="419"/>
      <c r="AE94" s="419"/>
      <c r="AF94" s="121"/>
      <c r="AO94" s="418" t="str">
        <f>IF(AND($H$67&gt;=4, $H$67&lt;&gt;"Please Select"),"Is this site also utilized for field experience?","")</f>
        <v/>
      </c>
      <c r="AP94" s="418"/>
      <c r="AQ94" s="419"/>
      <c r="AR94" s="419"/>
      <c r="AS94" s="121"/>
      <c r="BB94" s="418" t="str">
        <f>IF(AND($H$67&gt;=5, $H$67&lt;&gt;"Please Select"),"Is this site also utilized for field experience?","")</f>
        <v/>
      </c>
      <c r="BC94" s="418"/>
      <c r="BD94" s="419"/>
      <c r="BE94" s="419"/>
      <c r="BF94" s="121"/>
      <c r="BO94" s="418" t="str">
        <f>IF(AND($H$67&gt;=6, $H$67&lt;&gt;"Please Select"),"Is this site also utilized for field experience?","")</f>
        <v/>
      </c>
      <c r="BP94" s="418"/>
      <c r="BQ94" s="419"/>
      <c r="BR94" s="419"/>
      <c r="BS94" s="121"/>
      <c r="CG94" s="113" t="s">
        <v>186</v>
      </c>
      <c r="CH94" s="150" t="str">
        <f>IF(ISNUMBER(MATCH(12,G90:CA90,0)), "Yes", "")</f>
        <v/>
      </c>
      <c r="CI94" s="113" t="s">
        <v>187</v>
      </c>
      <c r="CJ94" s="150" t="str">
        <f>IF(ISNUMBER(MATCH(24,G90:CA90,0)), "Yes", "")</f>
        <v/>
      </c>
      <c r="CK94" s="113" t="s">
        <v>188</v>
      </c>
      <c r="CL94" s="150" t="str">
        <f>IF(ISNUMBER(MATCH(36,G90:CA90,0)), "Yes", "")</f>
        <v/>
      </c>
      <c r="CM94" s="113" t="s">
        <v>189</v>
      </c>
      <c r="CN94" s="150"/>
      <c r="CO94" s="113"/>
      <c r="CP94" s="113"/>
    </row>
    <row r="95" spans="2:94" s="121" customFormat="1" ht="26.25" customHeight="1" x14ac:dyDescent="0.35">
      <c r="B95" s="162" t="str">
        <f>IF(AND($H$67&gt;=1, $H$67&lt;&gt;"Please Select"),"Total Number of Runs Per Year:","")</f>
        <v/>
      </c>
      <c r="D95" s="420"/>
      <c r="E95" s="420"/>
      <c r="O95" s="162" t="str">
        <f>IF(AND($H$67&gt;=2, $H$67&lt;&gt;"Please Select"),"Total Number of Runs Per Year:","")</f>
        <v/>
      </c>
      <c r="Q95" s="420"/>
      <c r="R95" s="420"/>
      <c r="AB95" s="162" t="str">
        <f>IF(AND($H$67&gt;=3, $H$67&lt;&gt;"Please Select"),"Total Number of Runs Per Year:","")</f>
        <v/>
      </c>
      <c r="AD95" s="420"/>
      <c r="AE95" s="420"/>
      <c r="AO95" s="162" t="str">
        <f>IF(AND($H$67&gt;=4, $H$67&lt;&gt;"Please Select"),"Total Number of Runs Per Year:","")</f>
        <v/>
      </c>
      <c r="AQ95" s="420"/>
      <c r="AR95" s="420"/>
      <c r="BB95" s="162" t="str">
        <f>IF(AND($H$67&gt;=5, $H$67&lt;&gt;"Please Select"),"Total Number of Runs Per Year:","")</f>
        <v/>
      </c>
      <c r="BD95" s="420"/>
      <c r="BE95" s="420"/>
      <c r="BO95" s="162" t="str">
        <f>IF(AND($H$67&gt;=6, $H$67&lt;&gt;"Please Select"),"Total Number of Runs Per Year:","")</f>
        <v/>
      </c>
      <c r="BQ95" s="420"/>
      <c r="BR95" s="420"/>
    </row>
    <row r="96" spans="2:94" s="28" customFormat="1" ht="21.75" customHeight="1" x14ac:dyDescent="0.3">
      <c r="B96" s="158"/>
      <c r="C96" s="158"/>
      <c r="D96" s="410"/>
      <c r="E96" s="410"/>
      <c r="F96" s="158"/>
      <c r="O96" s="158"/>
      <c r="P96" s="158"/>
      <c r="Q96" s="410"/>
      <c r="R96" s="410"/>
      <c r="S96" s="158"/>
      <c r="AB96" s="158"/>
      <c r="AC96" s="158"/>
      <c r="AD96" s="410"/>
      <c r="AE96" s="410"/>
      <c r="AF96" s="158"/>
      <c r="AO96" s="158"/>
      <c r="AP96" s="158"/>
      <c r="AQ96" s="410"/>
      <c r="AR96" s="410"/>
      <c r="AS96" s="158"/>
      <c r="BB96" s="158"/>
      <c r="BC96" s="158"/>
      <c r="BD96" s="410"/>
      <c r="BE96" s="410"/>
      <c r="BF96" s="158"/>
      <c r="BO96" s="158"/>
      <c r="BP96" s="158"/>
      <c r="BQ96" s="410"/>
      <c r="BR96" s="410"/>
      <c r="BS96" s="158"/>
    </row>
    <row r="97" spans="1:80" s="28" customFormat="1" ht="27" customHeight="1" x14ac:dyDescent="0.3">
      <c r="B97" s="158"/>
      <c r="O97" s="158"/>
      <c r="AB97" s="158"/>
      <c r="AO97" s="158"/>
      <c r="BB97" s="158"/>
      <c r="BO97" s="158"/>
    </row>
    <row r="98" spans="1:80" s="28" customFormat="1" ht="35.25" customHeight="1" x14ac:dyDescent="0.3">
      <c r="B98" s="422" t="str">
        <f>IF(AND($H$67&gt;=1, $H$67&lt;&gt;"Please Select"),"Total # Active Preceptors at this Site:
(based on the list below)","")</f>
        <v/>
      </c>
      <c r="C98" s="422"/>
      <c r="D98" s="424" t="str">
        <f>IF(A$100&gt;=1,SUM(A$100),"")</f>
        <v/>
      </c>
      <c r="E98" s="424"/>
      <c r="O98" s="422" t="str">
        <f>IF(AND($H$67&gt;=2, $H$67&lt;&gt;"Please Select"),"Total # Active Preceptors at this Site:
(based on the list below)","")</f>
        <v/>
      </c>
      <c r="P98" s="422"/>
      <c r="Q98" s="424" t="str">
        <f>IF(N$100&gt;=1,SUM(N$100),"")</f>
        <v/>
      </c>
      <c r="R98" s="424"/>
      <c r="AB98" s="422" t="str">
        <f>IF(AND($H$67&gt;=3, $H$67&lt;&gt;"Please Select"),"Total # Active Preceptors at this Site:
(based on the list below)","")</f>
        <v/>
      </c>
      <c r="AC98" s="422"/>
      <c r="AD98" s="423" t="str">
        <f>IF(AA$100&gt;=1,SUM(AA$100),"")</f>
        <v/>
      </c>
      <c r="AE98" s="423"/>
      <c r="AO98" s="422" t="str">
        <f>IF(AND($H$67&gt;=4, $H$67&lt;&gt;"Please Select"),"Total # Active Preceptors at this Site:
(based on the list below)","")</f>
        <v/>
      </c>
      <c r="AP98" s="422"/>
      <c r="AQ98" s="423" t="str">
        <f>IF(AN$100&gt;=1,SUM(AN$100),"")</f>
        <v/>
      </c>
      <c r="AR98" s="423"/>
      <c r="BB98" s="422" t="str">
        <f>IF(AND($H$67&gt;=5, $H$67&lt;&gt;"Please Select"),"Total # Active Preceptors at this Site:
(based on the list below)","")</f>
        <v/>
      </c>
      <c r="BC98" s="422"/>
      <c r="BD98" s="423" t="str">
        <f>IF(BA$100&gt;=1,SUM(BA$100),"")</f>
        <v/>
      </c>
      <c r="BE98" s="423"/>
      <c r="BO98" s="422" t="str">
        <f>IF(AND($H$67&gt;=6, $H$67&lt;&gt;"Please Select"),"Total # Active Preceptors at this Site:
(based on the list below)","")</f>
        <v/>
      </c>
      <c r="BP98" s="422"/>
      <c r="BQ98" s="423" t="str">
        <f>IF(BN$100&gt;=1,SUM(BN$100),"")</f>
        <v/>
      </c>
      <c r="BR98" s="423"/>
    </row>
    <row r="99" spans="1:80" s="28" customFormat="1" ht="182.5" customHeight="1" x14ac:dyDescent="0.3">
      <c r="A99" s="148"/>
      <c r="B99" s="421" t="str">
        <f>IF(AND($H$67&gt;=1, $H$67&lt;&gt;"Please Select",[1]Instructions!A12="CoAEMSP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IF(AND($H$67&gt;=1, $H$67&lt;&gt;"Please Select",[1]Instructions!A12&lt;&gt;"CoAEMSP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C99" s="421"/>
      <c r="D99" s="421"/>
      <c r="E99" s="421"/>
      <c r="F99" s="421"/>
      <c r="G99" s="421"/>
      <c r="H99" s="421"/>
      <c r="I99" s="148"/>
      <c r="O99" s="421" t="str">
        <f>IF(AND($H$67&gt;=2, $H$67&lt;&gt;"Please Select",[1]Instructions!A12="CoAEMSP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IF(AND($H$67&gt;=2, $H$67&lt;&gt;"Please Select",[1]Instructions!A12&lt;&gt;"CoAEMSP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P99" s="421"/>
      <c r="Q99" s="421"/>
      <c r="R99" s="421"/>
      <c r="S99" s="421"/>
      <c r="T99" s="421"/>
      <c r="U99" s="421"/>
      <c r="AB99" s="421" t="str">
        <f>IF(AND($H$67&gt;=3, $H$67&lt;&gt;"Please Select",[1]Instructions!A12="CoAEMSP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IF(AND($H$67&gt;=3, $H$67&lt;&gt;"Please Select",[1]Instructions!A12&lt;&gt;"CoAEMSP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AC99" s="421"/>
      <c r="AD99" s="421"/>
      <c r="AE99" s="421"/>
      <c r="AF99" s="421"/>
      <c r="AG99" s="421"/>
      <c r="AH99" s="421"/>
      <c r="AO99" s="421" t="str">
        <f>IF(AND($H$67&gt;=4, $H$67&lt;&gt;"Please Select",[1]Instructions!A12="CoAEMSP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IF(AND($H$67&gt;=4, $H$67&lt;&gt;"Please Select",[1]Instructions!A12&lt;&gt;"CoAEMSP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AP99" s="421"/>
      <c r="AQ99" s="421"/>
      <c r="AR99" s="421"/>
      <c r="AS99" s="421"/>
      <c r="AT99" s="421"/>
      <c r="AU99" s="421"/>
      <c r="BB99" s="421" t="str">
        <f>IF(AND($H$67&gt;=5, $H$67&lt;&gt;"Please Select",[1]Instructions!A12="CoAEMSP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IF(AND($H$67&gt;=5, $H$67&lt;&gt;"Please Select",[1]Instructions!A12&lt;&gt;"CoAEMSP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BC99" s="421"/>
      <c r="BD99" s="421"/>
      <c r="BE99" s="421"/>
      <c r="BF99" s="421"/>
      <c r="BG99" s="421"/>
      <c r="BH99" s="421"/>
      <c r="BO99" s="421" t="str">
        <f>IF(AND($H$67&gt;=6, $H$67&lt;&gt;"Please Select",[1]Instructions!A12="CoAEMSP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LSSR or before the first cohort is admitted."&amp;"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 IF(AND($H$67&gt;=6, $H$67&lt;&gt;"Please Select",[1]Instructions!A12&lt;&gt;"CoAEMSP Letter of Review"),"Capstone field internship resources must be adequate for the number of students enrolled.  Capstone field internship preceptors must be trained prior to submission of the self-study to ensure adequate resources for students in those experiences."&amp;" 
List ALL the program's anticipated preceptors at this affiliate and the completion date of preceptor training.  If training has not been completed, enter PENDING in the date completed column and provide the date training is scheduled to be completed.  "&amp;"All capstone field internship preceptors must complete training before submission of the SSR."&amp;"
CoAEMSP recognizes programs evolve over time and there is often a need to add affiliate sites and capstone preceptors.  Preceptors may need to be replaced due to changing job responsibilities, departure from the affiliate, "&amp;"as well as the need to train new capstone preceptors for a growing program.",""))</f>
        <v/>
      </c>
      <c r="BP99" s="421"/>
      <c r="BQ99" s="421"/>
      <c r="BR99" s="421"/>
      <c r="BS99" s="421"/>
      <c r="BT99" s="421"/>
      <c r="BU99" s="421"/>
    </row>
    <row r="100" spans="1:80" s="28" customFormat="1" ht="31.5" customHeight="1" x14ac:dyDescent="0.3">
      <c r="A100" s="119">
        <f>COUNT(A101:A125)</f>
        <v>0</v>
      </c>
      <c r="B100" s="425" t="str">
        <f>IF(AND($H$67&gt;=1, $H$67&lt;&gt;"Please Select"),"Capstone Field Internship Preceptor Name","")</f>
        <v/>
      </c>
      <c r="C100" s="425"/>
      <c r="D100" s="425"/>
      <c r="E100" s="426" t="str">
        <f>IF(AND($H$67&gt;=1, $H$67&lt;&gt;"Please Select"),"Date Completed 
Preceptor Training","")</f>
        <v/>
      </c>
      <c r="F100" s="426"/>
      <c r="G100" s="426" t="str">
        <f>IF(OR(E101="Pending", E102="Pending", E103="Pending", E104="Pending", E105="Pending", E106="Pending", E107="Pending", E108="Pending", E109="Pending", E110="Pending", E111="Pending", E112="Pending", E113="Pending", E114="Pending", E115="Pending", E116="Pending", E117="Pending", E118="Pending", E119="Pending", E120="Pending", E121="Pending", E122="Pending", E123="Pending", E124="Pending", E125="Pending"), "Date Training Will Be Completed", "")</f>
        <v/>
      </c>
      <c r="H100" s="426"/>
      <c r="I100" s="119">
        <f>COUNT(I101:I125)</f>
        <v>0</v>
      </c>
      <c r="N100" s="119">
        <f>COUNT(N101:N125)</f>
        <v>0</v>
      </c>
      <c r="O100" s="425" t="str">
        <f>IF(AND($H$67&gt;=2, $H$67&lt;&gt;"Please Select"),"Capstone Field Internship Preceptor Name","")</f>
        <v/>
      </c>
      <c r="P100" s="425"/>
      <c r="Q100" s="425"/>
      <c r="R100" s="426" t="str">
        <f>IF(AND($H$67&gt;=2, $H$67&lt;&gt;"Please Select"),"Date Completed 
Preceptor Training","")</f>
        <v/>
      </c>
      <c r="S100" s="426"/>
      <c r="T100" s="426" t="str">
        <f>IF(OR(R101="Pending", R102="Pending", R103="Pending", R104="Pending", R105="Pending", R106="Pending", R107="Pending", R108="Pending", R109="Pending", R110="Pending", R111="Pending", R112="Pending", R113="Pending", R114="Pending", R115="Pending", R116="Pending", R117="Pending", R118="Pending", R119="Pending", R120="Pending", R121="Pending", R122="Pending", R123="Pending", R124="Pending", R125="Pending"), "Date Training Will Be Completed", "")</f>
        <v/>
      </c>
      <c r="U100" s="426"/>
      <c r="V100" s="119">
        <f>COUNT(V101:V125)</f>
        <v>0</v>
      </c>
      <c r="AA100" s="119">
        <f>COUNT(AA101:AA125)</f>
        <v>0</v>
      </c>
      <c r="AB100" s="425" t="str">
        <f>IF(AND($H$67&gt;=3, $H$67&lt;&gt;"Please Select"),"Capstone Field Internship Preceptor Name","")</f>
        <v/>
      </c>
      <c r="AC100" s="425"/>
      <c r="AD100" s="425"/>
      <c r="AE100" s="426" t="str">
        <f>IF(AND($H$67&gt;=3, $H$67&lt;&gt;"Please Select"),"Date Completed 
Preceptor Training","")</f>
        <v/>
      </c>
      <c r="AF100" s="426"/>
      <c r="AG100" s="426" t="str">
        <f>IF(OR(AE101="Pending", AE102="Pending", AE103="Pending", AE104="Pending", AE105="Pending", AE106="Pending", AE107="Pending", AE108="Pending", AE109="Pending", AE110="Pending", AE111="Pending", AE112="Pending", AE113="Pending", AE114="Pending", AE115="Pending", AE116="Pending", AE117="Pending", AE118="Pending", AE119="Pending", AE120="Pending", AE121="Pending", AE122="Pending", AE123="Pending", AE124="Pending", AE125="Pending"), "Date Training Will Be Completed", "")</f>
        <v/>
      </c>
      <c r="AH100" s="426"/>
      <c r="AI100" s="119">
        <f>COUNT(AI101:AI125)</f>
        <v>0</v>
      </c>
      <c r="AN100" s="119">
        <f>COUNT(AN101:AN125)</f>
        <v>0</v>
      </c>
      <c r="AO100" s="425" t="str">
        <f>IF(AND($H$67&gt;=4, $H$67&lt;&gt;"Please Select"),"Capstone Field Internship Preceptor Name","")</f>
        <v/>
      </c>
      <c r="AP100" s="425"/>
      <c r="AQ100" s="425"/>
      <c r="AR100" s="426" t="str">
        <f>IF(AND($H$67&gt;=4, $H$67&lt;&gt;"Please Select"),"Date Completed 
Preceptor Training","")</f>
        <v/>
      </c>
      <c r="AS100" s="426"/>
      <c r="AT100" s="426" t="str">
        <f>IF(OR(AR101="Pending", AR102="Pending", AR103="Pending", AR104="Pending", AR105="Pending", AR106="Pending", AR107="Pending", AR108="Pending", AR109="Pending", AR110="Pending", AR111="Pending", AR112="Pending", AR113="Pending", AR114="Pending", AR115="Pending", AR116="Pending", AR117="Pending", AR118="Pending", AR119="Pending", AR120="Pending", AR121="Pending", AR122="Pending", AR123="Pending", AR124="Pending", AR125="Pending"), "Date Training Will Be Completed", "")</f>
        <v/>
      </c>
      <c r="AU100" s="426"/>
      <c r="AV100" s="119">
        <f>COUNT(AV101:AV125)</f>
        <v>0</v>
      </c>
      <c r="BA100" s="119">
        <f>COUNT(BA101:BA125)</f>
        <v>0</v>
      </c>
      <c r="BB100" s="425" t="str">
        <f>IF(AND($H$67&gt;=5, $H$67&lt;&gt;"Please Select"),"Capstone Field Internship Preceptor Name","")</f>
        <v/>
      </c>
      <c r="BC100" s="425"/>
      <c r="BD100" s="425"/>
      <c r="BE100" s="426" t="str">
        <f>IF(AND($H$67&gt;=5, $H$67&lt;&gt;"Please Select"),"Date Completed 
Preceptor Training","")</f>
        <v/>
      </c>
      <c r="BF100" s="426"/>
      <c r="BG100" s="426" t="str">
        <f>IF(OR(BE101="Pending", BE102="Pending", BE103="Pending", BE104="Pending", BE105="Pending", BE106="Pending", BE107="Pending", BE108="Pending", BE109="Pending", BE110="Pending", BE111="Pending", BE112="Pending", BE113="Pending", BE114="Pending", BE115="Pending", BE116="Pending", BE117="Pending", BE118="Pending", BE119="Pending", BE120="Pending", BE121="Pending", BE122="Pending", BE123="Pending", BE124="Pending", BE125="Pending"), "Date Training Will Be Completed", "")</f>
        <v/>
      </c>
      <c r="BH100" s="426"/>
      <c r="BI100" s="119">
        <f>COUNT(BI101:BI125)</f>
        <v>0</v>
      </c>
      <c r="BN100" s="119">
        <f>COUNT(BN101:BN125)</f>
        <v>0</v>
      </c>
      <c r="BO100" s="425" t="str">
        <f>IF(AND($H$67&gt;=6, $H$67&lt;&gt;"Please Select"),"Capstone Field Internship Preceptor Name","")</f>
        <v/>
      </c>
      <c r="BP100" s="425"/>
      <c r="BQ100" s="425"/>
      <c r="BR100" s="426" t="str">
        <f>IF(AND($H$67&gt;=6, $H$67&lt;&gt;"Please Select"),"Date Completed 
Preceptor Training","")</f>
        <v/>
      </c>
      <c r="BS100" s="426"/>
      <c r="BT100" s="426" t="str">
        <f>IF(OR(BR101="Pending", BR102="Pending", BR103="Pending", BR104="Pending", BR105="Pending", BR106="Pending", BR107="Pending", BR108="Pending", BR109="Pending", BR110="Pending", BR111="Pending", BR112="Pending", BR113="Pending", BR114="Pending", BR115="Pending", BR116="Pending", BR117="Pending", BR118="Pending", BR119="Pending", BR120="Pending", BR121="Pending", BR122="Pending", BR123="Pending", BR124="Pending", BR125="Pending"), "Date Training Will Be Completed", "")</f>
        <v/>
      </c>
      <c r="BU100" s="426"/>
      <c r="BV100" s="119">
        <f>COUNT(BV101:BV125)</f>
        <v>0</v>
      </c>
      <c r="CA100" s="119">
        <f>COUNT(CA101:CA125)</f>
        <v>0</v>
      </c>
      <c r="CB100" s="119"/>
    </row>
    <row r="101" spans="1:80" s="28" customFormat="1" ht="18" customHeight="1" x14ac:dyDescent="0.3">
      <c r="A101" s="119" t="str">
        <f>IF(B101&lt;&gt;"",1,"")</f>
        <v/>
      </c>
      <c r="B101" s="427"/>
      <c r="C101" s="427"/>
      <c r="D101" s="427"/>
      <c r="E101" s="428"/>
      <c r="F101" s="411"/>
      <c r="G101" s="428"/>
      <c r="H101" s="428"/>
      <c r="I101" s="119" t="str">
        <f>IF(E101="Pending",1,"")</f>
        <v/>
      </c>
      <c r="N101" s="119" t="str">
        <f>IF(O101&lt;&gt;"",26,"")</f>
        <v/>
      </c>
      <c r="O101" s="427"/>
      <c r="P101" s="427"/>
      <c r="Q101" s="427"/>
      <c r="R101" s="411"/>
      <c r="S101" s="411"/>
      <c r="T101" s="428"/>
      <c r="U101" s="411"/>
      <c r="V101" s="119" t="str">
        <f>IF(R101="Pending",1,"")</f>
        <v/>
      </c>
      <c r="AA101" s="119" t="str">
        <f>IF(AB101&lt;&gt;"",51,"")</f>
        <v/>
      </c>
      <c r="AB101" s="427"/>
      <c r="AC101" s="427"/>
      <c r="AD101" s="427"/>
      <c r="AE101" s="411"/>
      <c r="AF101" s="411"/>
      <c r="AG101" s="428"/>
      <c r="AH101" s="411"/>
      <c r="AI101" s="119" t="str">
        <f>IF(AE101="Pending",1,"")</f>
        <v/>
      </c>
      <c r="AN101" s="119" t="str">
        <f>IF(AO101&lt;&gt;"",76,"")</f>
        <v/>
      </c>
      <c r="AO101" s="427"/>
      <c r="AP101" s="427"/>
      <c r="AQ101" s="427"/>
      <c r="AR101" s="411"/>
      <c r="AS101" s="411"/>
      <c r="AT101" s="411"/>
      <c r="AU101" s="411"/>
      <c r="AV101" s="119" t="str">
        <f>IF(AR101="Pending",1,"")</f>
        <v/>
      </c>
      <c r="BA101" s="119" t="str">
        <f>IF(BB101&lt;&gt;"",101,"")</f>
        <v/>
      </c>
      <c r="BB101" s="427"/>
      <c r="BC101" s="427"/>
      <c r="BD101" s="427"/>
      <c r="BE101" s="411"/>
      <c r="BF101" s="411"/>
      <c r="BG101" s="411"/>
      <c r="BH101" s="411"/>
      <c r="BI101" s="119" t="str">
        <f>IF(BE101="Pending",1,"")</f>
        <v/>
      </c>
      <c r="BN101" s="119" t="str">
        <f>IF(BO101&lt;&gt;"",126,"")</f>
        <v/>
      </c>
      <c r="BO101" s="427"/>
      <c r="BP101" s="427"/>
      <c r="BQ101" s="427"/>
      <c r="BR101" s="411"/>
      <c r="BS101" s="411"/>
      <c r="BT101" s="411"/>
      <c r="BU101" s="411"/>
      <c r="BV101" s="119" t="str">
        <f>IF(BR101="Pending",1,"")</f>
        <v/>
      </c>
      <c r="CB101" s="119">
        <f t="shared" ref="CB101:CB111" si="0">COUNT(CB102:CB126)</f>
        <v>23</v>
      </c>
    </row>
    <row r="102" spans="1:80" s="28" customFormat="1" ht="18" customHeight="1" x14ac:dyDescent="0.3">
      <c r="A102" s="119" t="str">
        <f>IF(B102&lt;&gt;"",2,"")</f>
        <v/>
      </c>
      <c r="B102" s="427"/>
      <c r="C102" s="427"/>
      <c r="D102" s="427"/>
      <c r="E102" s="411"/>
      <c r="F102" s="411"/>
      <c r="G102" s="428"/>
      <c r="H102" s="428"/>
      <c r="I102" s="119" t="str">
        <f t="shared" ref="I102:I125" si="1">IF(E102="Pending",1,"")</f>
        <v/>
      </c>
      <c r="N102" s="119" t="str">
        <f>IF(O102&lt;&gt;"",27,"")</f>
        <v/>
      </c>
      <c r="O102" s="427"/>
      <c r="P102" s="427"/>
      <c r="Q102" s="427"/>
      <c r="R102" s="411"/>
      <c r="S102" s="411"/>
      <c r="T102" s="411"/>
      <c r="U102" s="411"/>
      <c r="V102" s="119" t="str">
        <f t="shared" ref="V102:V125" si="2">IF(R102="Pending",1,"")</f>
        <v/>
      </c>
      <c r="AA102" s="119" t="str">
        <f>IF(AB102&lt;&gt;"",52,"")</f>
        <v/>
      </c>
      <c r="AB102" s="427"/>
      <c r="AC102" s="427"/>
      <c r="AD102" s="427"/>
      <c r="AE102" s="411"/>
      <c r="AF102" s="411"/>
      <c r="AG102" s="411"/>
      <c r="AH102" s="411"/>
      <c r="AI102" s="119" t="str">
        <f t="shared" ref="AI102:AI125" si="3">IF(AE102="Pending",1,"")</f>
        <v/>
      </c>
      <c r="AN102" s="119" t="str">
        <f>IF(AO102&lt;&gt;"",77,"")</f>
        <v/>
      </c>
      <c r="AO102" s="427"/>
      <c r="AP102" s="427"/>
      <c r="AQ102" s="427"/>
      <c r="AR102" s="411"/>
      <c r="AS102" s="411"/>
      <c r="AT102" s="411"/>
      <c r="AU102" s="411"/>
      <c r="AV102" s="119" t="str">
        <f t="shared" ref="AV102:AV125" si="4">IF(AR102="Pending",1,"")</f>
        <v/>
      </c>
      <c r="BA102" s="119" t="str">
        <f>IF(BB102&lt;&gt;"",102,"")</f>
        <v/>
      </c>
      <c r="BB102" s="427"/>
      <c r="BC102" s="427"/>
      <c r="BD102" s="427"/>
      <c r="BE102" s="411"/>
      <c r="BF102" s="411"/>
      <c r="BG102" s="411"/>
      <c r="BH102" s="411"/>
      <c r="BI102" s="119" t="str">
        <f t="shared" ref="BI102:BI125" si="5">IF(BE102="Pending",1,"")</f>
        <v/>
      </c>
      <c r="BN102" s="119" t="str">
        <f>IF(BO102&lt;&gt;"",127,"")</f>
        <v/>
      </c>
      <c r="BO102" s="427"/>
      <c r="BP102" s="427"/>
      <c r="BQ102" s="427"/>
      <c r="BR102" s="411"/>
      <c r="BS102" s="411"/>
      <c r="BT102" s="411"/>
      <c r="BU102" s="411"/>
      <c r="BV102" s="119" t="str">
        <f t="shared" ref="BV102:BV125" si="6">IF(BR102="Pending",1,"")</f>
        <v/>
      </c>
      <c r="CB102" s="119">
        <f t="shared" si="0"/>
        <v>22</v>
      </c>
    </row>
    <row r="103" spans="1:80" s="28" customFormat="1" ht="18" customHeight="1" x14ac:dyDescent="0.3">
      <c r="A103" s="119" t="str">
        <f>IF(B103&lt;&gt;"",3,"")</f>
        <v/>
      </c>
      <c r="B103" s="427"/>
      <c r="C103" s="427"/>
      <c r="D103" s="427"/>
      <c r="E103" s="411"/>
      <c r="F103" s="411"/>
      <c r="G103" s="428"/>
      <c r="H103" s="428"/>
      <c r="I103" s="119" t="str">
        <f t="shared" si="1"/>
        <v/>
      </c>
      <c r="N103" s="119" t="str">
        <f>IF(O103&lt;&gt;"",28,"")</f>
        <v/>
      </c>
      <c r="O103" s="427"/>
      <c r="P103" s="427"/>
      <c r="Q103" s="427"/>
      <c r="R103" s="411"/>
      <c r="S103" s="411"/>
      <c r="T103" s="411"/>
      <c r="U103" s="411"/>
      <c r="V103" s="119" t="str">
        <f t="shared" si="2"/>
        <v/>
      </c>
      <c r="AA103" s="119" t="str">
        <f>IF(AB103&lt;&gt;"",53,"")</f>
        <v/>
      </c>
      <c r="AB103" s="427"/>
      <c r="AC103" s="427"/>
      <c r="AD103" s="427"/>
      <c r="AE103" s="411"/>
      <c r="AF103" s="411"/>
      <c r="AG103" s="411"/>
      <c r="AH103" s="411"/>
      <c r="AI103" s="119" t="str">
        <f t="shared" si="3"/>
        <v/>
      </c>
      <c r="AN103" s="119" t="str">
        <f>IF(AO103&lt;&gt;"",78,"")</f>
        <v/>
      </c>
      <c r="AO103" s="427"/>
      <c r="AP103" s="427"/>
      <c r="AQ103" s="427"/>
      <c r="AR103" s="411"/>
      <c r="AS103" s="411"/>
      <c r="AT103" s="411"/>
      <c r="AU103" s="411"/>
      <c r="AV103" s="119" t="str">
        <f t="shared" si="4"/>
        <v/>
      </c>
      <c r="BA103" s="119" t="str">
        <f>IF(BB103&lt;&gt;"",103,"")</f>
        <v/>
      </c>
      <c r="BB103" s="427"/>
      <c r="BC103" s="427"/>
      <c r="BD103" s="427"/>
      <c r="BE103" s="411"/>
      <c r="BF103" s="411"/>
      <c r="BG103" s="411"/>
      <c r="BH103" s="411"/>
      <c r="BI103" s="119" t="str">
        <f t="shared" si="5"/>
        <v/>
      </c>
      <c r="BN103" s="119" t="str">
        <f>IF(BO103&lt;&gt;"",128,"")</f>
        <v/>
      </c>
      <c r="BO103" s="427"/>
      <c r="BP103" s="427"/>
      <c r="BQ103" s="427"/>
      <c r="BR103" s="411"/>
      <c r="BS103" s="411"/>
      <c r="BT103" s="411"/>
      <c r="BU103" s="411"/>
      <c r="BV103" s="119" t="str">
        <f t="shared" si="6"/>
        <v/>
      </c>
      <c r="CB103" s="119">
        <f t="shared" si="0"/>
        <v>21</v>
      </c>
    </row>
    <row r="104" spans="1:80" s="28" customFormat="1" ht="18" customHeight="1" x14ac:dyDescent="0.3">
      <c r="A104" s="119" t="str">
        <f>IF(B104&lt;&gt;"",4,"")</f>
        <v/>
      </c>
      <c r="B104" s="427"/>
      <c r="C104" s="427"/>
      <c r="D104" s="427"/>
      <c r="E104" s="411"/>
      <c r="F104" s="411"/>
      <c r="G104" s="428"/>
      <c r="H104" s="428"/>
      <c r="I104" s="119" t="str">
        <f t="shared" si="1"/>
        <v/>
      </c>
      <c r="N104" s="119" t="str">
        <f>IF(O104&lt;&gt;"",29,"")</f>
        <v/>
      </c>
      <c r="O104" s="427"/>
      <c r="P104" s="427"/>
      <c r="Q104" s="427"/>
      <c r="R104" s="411"/>
      <c r="S104" s="411"/>
      <c r="T104" s="411"/>
      <c r="U104" s="411"/>
      <c r="V104" s="119" t="str">
        <f t="shared" si="2"/>
        <v/>
      </c>
      <c r="AA104" s="119" t="str">
        <f>IF(AB104&lt;&gt;"",54,"")</f>
        <v/>
      </c>
      <c r="AB104" s="427"/>
      <c r="AC104" s="427"/>
      <c r="AD104" s="427"/>
      <c r="AE104" s="411"/>
      <c r="AF104" s="411"/>
      <c r="AG104" s="411"/>
      <c r="AH104" s="411"/>
      <c r="AI104" s="119" t="str">
        <f t="shared" si="3"/>
        <v/>
      </c>
      <c r="AN104" s="119" t="str">
        <f>IF(AO104&lt;&gt;"",79,"")</f>
        <v/>
      </c>
      <c r="AO104" s="427"/>
      <c r="AP104" s="427"/>
      <c r="AQ104" s="427"/>
      <c r="AR104" s="411"/>
      <c r="AS104" s="411"/>
      <c r="AT104" s="411"/>
      <c r="AU104" s="411"/>
      <c r="AV104" s="119" t="str">
        <f t="shared" si="4"/>
        <v/>
      </c>
      <c r="BA104" s="119" t="str">
        <f>IF(BB104&lt;&gt;"",104,"")</f>
        <v/>
      </c>
      <c r="BB104" s="427"/>
      <c r="BC104" s="427"/>
      <c r="BD104" s="427"/>
      <c r="BE104" s="411"/>
      <c r="BF104" s="411"/>
      <c r="BG104" s="411"/>
      <c r="BH104" s="411"/>
      <c r="BI104" s="119" t="str">
        <f t="shared" si="5"/>
        <v/>
      </c>
      <c r="BN104" s="119" t="str">
        <f>IF(BO104&lt;&gt;"",129,"")</f>
        <v/>
      </c>
      <c r="BO104" s="427"/>
      <c r="BP104" s="427"/>
      <c r="BQ104" s="427"/>
      <c r="BR104" s="411"/>
      <c r="BS104" s="411"/>
      <c r="BT104" s="411"/>
      <c r="BU104" s="411"/>
      <c r="BV104" s="119" t="str">
        <f t="shared" si="6"/>
        <v/>
      </c>
      <c r="CB104" s="119">
        <f t="shared" si="0"/>
        <v>20</v>
      </c>
    </row>
    <row r="105" spans="1:80" s="28" customFormat="1" ht="18" customHeight="1" x14ac:dyDescent="0.3">
      <c r="A105" s="119" t="str">
        <f>IF(B105&lt;&gt;"",5,"")</f>
        <v/>
      </c>
      <c r="B105" s="427"/>
      <c r="C105" s="427"/>
      <c r="D105" s="427"/>
      <c r="E105" s="411"/>
      <c r="F105" s="411"/>
      <c r="G105" s="428"/>
      <c r="H105" s="428"/>
      <c r="I105" s="119" t="str">
        <f t="shared" si="1"/>
        <v/>
      </c>
      <c r="N105" s="119" t="str">
        <f>IF(O105&lt;&gt;"",30,"")</f>
        <v/>
      </c>
      <c r="O105" s="427"/>
      <c r="P105" s="427"/>
      <c r="Q105" s="427"/>
      <c r="R105" s="411"/>
      <c r="S105" s="411"/>
      <c r="T105" s="411"/>
      <c r="U105" s="411"/>
      <c r="V105" s="119" t="str">
        <f t="shared" si="2"/>
        <v/>
      </c>
      <c r="AA105" s="119" t="str">
        <f>IF(AB105&lt;&gt;"",55,"")</f>
        <v/>
      </c>
      <c r="AB105" s="427"/>
      <c r="AC105" s="427"/>
      <c r="AD105" s="427"/>
      <c r="AE105" s="411"/>
      <c r="AF105" s="411"/>
      <c r="AG105" s="411"/>
      <c r="AH105" s="411"/>
      <c r="AI105" s="119" t="str">
        <f t="shared" si="3"/>
        <v/>
      </c>
      <c r="AN105" s="119" t="str">
        <f>IF(AO105&lt;&gt;"",80,"")</f>
        <v/>
      </c>
      <c r="AO105" s="427"/>
      <c r="AP105" s="427"/>
      <c r="AQ105" s="427"/>
      <c r="AR105" s="411"/>
      <c r="AS105" s="411"/>
      <c r="AT105" s="411"/>
      <c r="AU105" s="411"/>
      <c r="AV105" s="119" t="str">
        <f t="shared" si="4"/>
        <v/>
      </c>
      <c r="BA105" s="119" t="str">
        <f>IF(BB105&lt;&gt;"",105,"")</f>
        <v/>
      </c>
      <c r="BB105" s="427"/>
      <c r="BC105" s="427"/>
      <c r="BD105" s="427"/>
      <c r="BE105" s="411"/>
      <c r="BF105" s="411"/>
      <c r="BG105" s="411"/>
      <c r="BH105" s="411"/>
      <c r="BI105" s="119" t="str">
        <f t="shared" si="5"/>
        <v/>
      </c>
      <c r="BN105" s="119" t="str">
        <f>IF(BO105&lt;&gt;"",130,"")</f>
        <v/>
      </c>
      <c r="BO105" s="427"/>
      <c r="BP105" s="427"/>
      <c r="BQ105" s="427"/>
      <c r="BR105" s="411"/>
      <c r="BS105" s="411"/>
      <c r="BT105" s="411"/>
      <c r="BU105" s="411"/>
      <c r="BV105" s="119" t="str">
        <f t="shared" si="6"/>
        <v/>
      </c>
      <c r="CB105" s="119">
        <f t="shared" si="0"/>
        <v>19</v>
      </c>
    </row>
    <row r="106" spans="1:80" s="28" customFormat="1" ht="18" customHeight="1" x14ac:dyDescent="0.3">
      <c r="A106" s="119" t="str">
        <f>IF(B106&lt;&gt;"",6,"")</f>
        <v/>
      </c>
      <c r="B106" s="427"/>
      <c r="C106" s="427"/>
      <c r="D106" s="427"/>
      <c r="E106" s="411"/>
      <c r="F106" s="411"/>
      <c r="G106" s="428"/>
      <c r="H106" s="428"/>
      <c r="I106" s="119" t="str">
        <f t="shared" si="1"/>
        <v/>
      </c>
      <c r="N106" s="119" t="str">
        <f>IF(O106&lt;&gt;"",31,"")</f>
        <v/>
      </c>
      <c r="O106" s="427"/>
      <c r="P106" s="427"/>
      <c r="Q106" s="427"/>
      <c r="R106" s="411"/>
      <c r="S106" s="411"/>
      <c r="T106" s="411"/>
      <c r="U106" s="411"/>
      <c r="V106" s="119" t="str">
        <f t="shared" si="2"/>
        <v/>
      </c>
      <c r="AA106" s="119" t="str">
        <f>IF(AB106&lt;&gt;"",56,"")</f>
        <v/>
      </c>
      <c r="AB106" s="427"/>
      <c r="AC106" s="427"/>
      <c r="AD106" s="427"/>
      <c r="AE106" s="411"/>
      <c r="AF106" s="411"/>
      <c r="AG106" s="411"/>
      <c r="AH106" s="411"/>
      <c r="AI106" s="119" t="str">
        <f t="shared" si="3"/>
        <v/>
      </c>
      <c r="AN106" s="119" t="str">
        <f>IF(AO106&lt;&gt;"",81,"")</f>
        <v/>
      </c>
      <c r="AO106" s="427"/>
      <c r="AP106" s="427"/>
      <c r="AQ106" s="427"/>
      <c r="AR106" s="411"/>
      <c r="AS106" s="411"/>
      <c r="AT106" s="428"/>
      <c r="AU106" s="411"/>
      <c r="AV106" s="119" t="str">
        <f t="shared" si="4"/>
        <v/>
      </c>
      <c r="BA106" s="119" t="str">
        <f>IF(BB106&lt;&gt;"",106,"")</f>
        <v/>
      </c>
      <c r="BB106" s="427"/>
      <c r="BC106" s="427"/>
      <c r="BD106" s="427"/>
      <c r="BE106" s="411"/>
      <c r="BF106" s="411"/>
      <c r="BG106" s="411"/>
      <c r="BH106" s="411"/>
      <c r="BI106" s="119" t="str">
        <f t="shared" si="5"/>
        <v/>
      </c>
      <c r="BN106" s="119" t="str">
        <f>IF(BO106&lt;&gt;"",131,"")</f>
        <v/>
      </c>
      <c r="BO106" s="427"/>
      <c r="BP106" s="427"/>
      <c r="BQ106" s="427"/>
      <c r="BR106" s="411"/>
      <c r="BS106" s="411"/>
      <c r="BT106" s="411"/>
      <c r="BU106" s="411"/>
      <c r="BV106" s="119" t="str">
        <f t="shared" si="6"/>
        <v/>
      </c>
      <c r="CB106" s="119">
        <f t="shared" si="0"/>
        <v>18</v>
      </c>
    </row>
    <row r="107" spans="1:80" s="28" customFormat="1" ht="18" customHeight="1" x14ac:dyDescent="0.3">
      <c r="A107" s="119" t="str">
        <f>IF(B107&lt;&gt;"",7,"")</f>
        <v/>
      </c>
      <c r="B107" s="427"/>
      <c r="C107" s="427"/>
      <c r="D107" s="427"/>
      <c r="E107" s="411"/>
      <c r="F107" s="411"/>
      <c r="G107" s="428"/>
      <c r="H107" s="428"/>
      <c r="I107" s="119" t="str">
        <f t="shared" si="1"/>
        <v/>
      </c>
      <c r="N107" s="119" t="str">
        <f>IF(O107&lt;&gt;"",32,"")</f>
        <v/>
      </c>
      <c r="O107" s="427"/>
      <c r="P107" s="427"/>
      <c r="Q107" s="427"/>
      <c r="R107" s="411"/>
      <c r="S107" s="411"/>
      <c r="T107" s="411"/>
      <c r="U107" s="411"/>
      <c r="V107" s="119" t="str">
        <f t="shared" si="2"/>
        <v/>
      </c>
      <c r="AA107" s="119" t="str">
        <f>IF(AB107&lt;&gt;"",57,"")</f>
        <v/>
      </c>
      <c r="AB107" s="427"/>
      <c r="AC107" s="427"/>
      <c r="AD107" s="427"/>
      <c r="AE107" s="411"/>
      <c r="AF107" s="411"/>
      <c r="AG107" s="411"/>
      <c r="AH107" s="411"/>
      <c r="AI107" s="119" t="str">
        <f t="shared" si="3"/>
        <v/>
      </c>
      <c r="AN107" s="119" t="str">
        <f>IF(AO107&lt;&gt;"",82,"")</f>
        <v/>
      </c>
      <c r="AO107" s="427"/>
      <c r="AP107" s="427"/>
      <c r="AQ107" s="427"/>
      <c r="AR107" s="411"/>
      <c r="AS107" s="411"/>
      <c r="AT107" s="411"/>
      <c r="AU107" s="411"/>
      <c r="AV107" s="119" t="str">
        <f t="shared" si="4"/>
        <v/>
      </c>
      <c r="BA107" s="119" t="str">
        <f>IF(BB107&lt;&gt;"",107,"")</f>
        <v/>
      </c>
      <c r="BB107" s="427"/>
      <c r="BC107" s="427"/>
      <c r="BD107" s="427"/>
      <c r="BE107" s="411"/>
      <c r="BF107" s="411"/>
      <c r="BG107" s="411"/>
      <c r="BH107" s="411"/>
      <c r="BI107" s="119" t="str">
        <f t="shared" si="5"/>
        <v/>
      </c>
      <c r="BN107" s="119" t="str">
        <f>IF(BO107&lt;&gt;"",132,"")</f>
        <v/>
      </c>
      <c r="BO107" s="427"/>
      <c r="BP107" s="427"/>
      <c r="BQ107" s="427"/>
      <c r="BR107" s="411"/>
      <c r="BS107" s="411"/>
      <c r="BT107" s="411"/>
      <c r="BU107" s="411"/>
      <c r="BV107" s="119" t="str">
        <f t="shared" si="6"/>
        <v/>
      </c>
      <c r="CB107" s="119"/>
    </row>
    <row r="108" spans="1:80" s="28" customFormat="1" ht="18" customHeight="1" x14ac:dyDescent="0.3">
      <c r="A108" s="119" t="str">
        <f>IF(B108&lt;&gt;"",8,"")</f>
        <v/>
      </c>
      <c r="B108" s="427"/>
      <c r="C108" s="427"/>
      <c r="D108" s="427"/>
      <c r="E108" s="411"/>
      <c r="F108" s="411"/>
      <c r="G108" s="428"/>
      <c r="H108" s="428"/>
      <c r="I108" s="119" t="str">
        <f t="shared" si="1"/>
        <v/>
      </c>
      <c r="N108" s="119" t="str">
        <f>IF(O108&lt;&gt;"",33,"")</f>
        <v/>
      </c>
      <c r="O108" s="427"/>
      <c r="P108" s="427"/>
      <c r="Q108" s="427"/>
      <c r="R108" s="411"/>
      <c r="S108" s="411"/>
      <c r="T108" s="411"/>
      <c r="U108" s="411"/>
      <c r="V108" s="119" t="str">
        <f t="shared" si="2"/>
        <v/>
      </c>
      <c r="AA108" s="119" t="str">
        <f>IF(AB108&lt;&gt;"",58,"")</f>
        <v/>
      </c>
      <c r="AB108" s="427"/>
      <c r="AC108" s="427"/>
      <c r="AD108" s="427"/>
      <c r="AE108" s="411"/>
      <c r="AF108" s="411"/>
      <c r="AG108" s="411"/>
      <c r="AH108" s="411"/>
      <c r="AI108" s="119" t="str">
        <f t="shared" si="3"/>
        <v/>
      </c>
      <c r="AN108" s="119" t="str">
        <f>IF(AO108&lt;&gt;"",83,"")</f>
        <v/>
      </c>
      <c r="AO108" s="427"/>
      <c r="AP108" s="427"/>
      <c r="AQ108" s="427"/>
      <c r="AR108" s="411"/>
      <c r="AS108" s="411"/>
      <c r="AT108" s="411"/>
      <c r="AU108" s="411"/>
      <c r="AV108" s="119" t="str">
        <f t="shared" si="4"/>
        <v/>
      </c>
      <c r="BA108" s="119" t="str">
        <f>IF(BB108&lt;&gt;"",108,"")</f>
        <v/>
      </c>
      <c r="BB108" s="427"/>
      <c r="BC108" s="427"/>
      <c r="BD108" s="427"/>
      <c r="BE108" s="411"/>
      <c r="BF108" s="411"/>
      <c r="BG108" s="411"/>
      <c r="BH108" s="411"/>
      <c r="BI108" s="119" t="str">
        <f t="shared" si="5"/>
        <v/>
      </c>
      <c r="BN108" s="119" t="str">
        <f>IF(BO108&lt;&gt;"",133,"")</f>
        <v/>
      </c>
      <c r="BO108" s="427"/>
      <c r="BP108" s="427"/>
      <c r="BQ108" s="427"/>
      <c r="BR108" s="411"/>
      <c r="BS108" s="411"/>
      <c r="BT108" s="411"/>
      <c r="BU108" s="411"/>
      <c r="BV108" s="119" t="str">
        <f t="shared" si="6"/>
        <v/>
      </c>
      <c r="CB108" s="119">
        <f t="shared" si="0"/>
        <v>17</v>
      </c>
    </row>
    <row r="109" spans="1:80" s="28" customFormat="1" ht="18" customHeight="1" x14ac:dyDescent="0.3">
      <c r="A109" s="119" t="str">
        <f>IF(B109&lt;&gt;"",9,"")</f>
        <v/>
      </c>
      <c r="B109" s="427"/>
      <c r="C109" s="427"/>
      <c r="D109" s="427"/>
      <c r="E109" s="411"/>
      <c r="F109" s="411"/>
      <c r="G109" s="428"/>
      <c r="H109" s="428"/>
      <c r="I109" s="119" t="str">
        <f t="shared" si="1"/>
        <v/>
      </c>
      <c r="N109" s="119" t="str">
        <f>IF(O109&lt;&gt;"",34,"")</f>
        <v/>
      </c>
      <c r="O109" s="427"/>
      <c r="P109" s="427"/>
      <c r="Q109" s="427"/>
      <c r="R109" s="411"/>
      <c r="S109" s="411"/>
      <c r="T109" s="411"/>
      <c r="U109" s="411"/>
      <c r="V109" s="119" t="str">
        <f t="shared" si="2"/>
        <v/>
      </c>
      <c r="AA109" s="119" t="str">
        <f>IF(AB109&lt;&gt;"",59,"")</f>
        <v/>
      </c>
      <c r="AB109" s="427"/>
      <c r="AC109" s="427"/>
      <c r="AD109" s="427"/>
      <c r="AE109" s="411"/>
      <c r="AF109" s="411"/>
      <c r="AG109" s="411"/>
      <c r="AH109" s="411"/>
      <c r="AI109" s="119" t="str">
        <f t="shared" si="3"/>
        <v/>
      </c>
      <c r="AN109" s="119" t="str">
        <f>IF(AO109&lt;&gt;"",84,"")</f>
        <v/>
      </c>
      <c r="AO109" s="427"/>
      <c r="AP109" s="427"/>
      <c r="AQ109" s="427"/>
      <c r="AR109" s="411"/>
      <c r="AS109" s="411"/>
      <c r="AT109" s="411"/>
      <c r="AU109" s="411"/>
      <c r="AV109" s="119" t="str">
        <f t="shared" si="4"/>
        <v/>
      </c>
      <c r="BA109" s="119" t="str">
        <f>IF(BB109&lt;&gt;"",109,"")</f>
        <v/>
      </c>
      <c r="BB109" s="427"/>
      <c r="BC109" s="427"/>
      <c r="BD109" s="427"/>
      <c r="BE109" s="411"/>
      <c r="BF109" s="411"/>
      <c r="BG109" s="411"/>
      <c r="BH109" s="411"/>
      <c r="BI109" s="119" t="str">
        <f t="shared" si="5"/>
        <v/>
      </c>
      <c r="BN109" s="119" t="str">
        <f>IF(BO109&lt;&gt;"",134,"")</f>
        <v/>
      </c>
      <c r="BO109" s="427"/>
      <c r="BP109" s="427"/>
      <c r="BQ109" s="427"/>
      <c r="BR109" s="411"/>
      <c r="BS109" s="411"/>
      <c r="BT109" s="411"/>
      <c r="BU109" s="411"/>
      <c r="BV109" s="119" t="str">
        <f t="shared" si="6"/>
        <v/>
      </c>
      <c r="CB109" s="119">
        <f t="shared" si="0"/>
        <v>16</v>
      </c>
    </row>
    <row r="110" spans="1:80" s="28" customFormat="1" ht="18" customHeight="1" x14ac:dyDescent="0.3">
      <c r="A110" s="119" t="str">
        <f>IF(B110&lt;&gt;"",10,"")</f>
        <v/>
      </c>
      <c r="B110" s="427"/>
      <c r="C110" s="427"/>
      <c r="D110" s="427"/>
      <c r="E110" s="411"/>
      <c r="F110" s="411"/>
      <c r="G110" s="428"/>
      <c r="H110" s="428"/>
      <c r="I110" s="119" t="str">
        <f t="shared" si="1"/>
        <v/>
      </c>
      <c r="N110" s="119" t="str">
        <f>IF(O110&lt;&gt;"",35,"")</f>
        <v/>
      </c>
      <c r="O110" s="427"/>
      <c r="P110" s="427"/>
      <c r="Q110" s="427"/>
      <c r="R110" s="411"/>
      <c r="S110" s="411"/>
      <c r="T110" s="411"/>
      <c r="U110" s="411"/>
      <c r="V110" s="119" t="str">
        <f t="shared" si="2"/>
        <v/>
      </c>
      <c r="AA110" s="119" t="str">
        <f>IF(AB110&lt;&gt;"",60,"")</f>
        <v/>
      </c>
      <c r="AB110" s="427"/>
      <c r="AC110" s="427"/>
      <c r="AD110" s="427"/>
      <c r="AE110" s="411"/>
      <c r="AF110" s="411"/>
      <c r="AG110" s="411"/>
      <c r="AH110" s="411"/>
      <c r="AI110" s="119" t="str">
        <f t="shared" si="3"/>
        <v/>
      </c>
      <c r="AN110" s="119" t="str">
        <f>IF(AO110&lt;&gt;"",85,"")</f>
        <v/>
      </c>
      <c r="AO110" s="427"/>
      <c r="AP110" s="427"/>
      <c r="AQ110" s="427"/>
      <c r="AR110" s="411"/>
      <c r="AS110" s="411"/>
      <c r="AT110" s="411"/>
      <c r="AU110" s="411"/>
      <c r="AV110" s="119" t="str">
        <f t="shared" si="4"/>
        <v/>
      </c>
      <c r="BA110" s="119" t="str">
        <f>IF(BB110&lt;&gt;"",110,"")</f>
        <v/>
      </c>
      <c r="BB110" s="427"/>
      <c r="BC110" s="427"/>
      <c r="BD110" s="427"/>
      <c r="BE110" s="411"/>
      <c r="BF110" s="411"/>
      <c r="BG110" s="411"/>
      <c r="BH110" s="411"/>
      <c r="BI110" s="119" t="str">
        <f t="shared" si="5"/>
        <v/>
      </c>
      <c r="BN110" s="119" t="str">
        <f>IF(BO110&lt;&gt;"",135,"")</f>
        <v/>
      </c>
      <c r="BO110" s="427"/>
      <c r="BP110" s="427"/>
      <c r="BQ110" s="427"/>
      <c r="BR110" s="411"/>
      <c r="BS110" s="411"/>
      <c r="BT110" s="411"/>
      <c r="BU110" s="411"/>
      <c r="BV110" s="119" t="str">
        <f t="shared" si="6"/>
        <v/>
      </c>
      <c r="CB110" s="119">
        <f t="shared" si="0"/>
        <v>15</v>
      </c>
    </row>
    <row r="111" spans="1:80" s="28" customFormat="1" ht="18" customHeight="1" x14ac:dyDescent="0.3">
      <c r="A111" s="119" t="str">
        <f>IF(B111&lt;&gt;"",11,"")</f>
        <v/>
      </c>
      <c r="B111" s="427"/>
      <c r="C111" s="427"/>
      <c r="D111" s="427"/>
      <c r="E111" s="411"/>
      <c r="F111" s="411"/>
      <c r="G111" s="428"/>
      <c r="H111" s="428"/>
      <c r="I111" s="119" t="str">
        <f t="shared" si="1"/>
        <v/>
      </c>
      <c r="N111" s="119" t="str">
        <f>IF(O111&lt;&gt;"",36,"")</f>
        <v/>
      </c>
      <c r="O111" s="427"/>
      <c r="P111" s="427"/>
      <c r="Q111" s="427"/>
      <c r="R111" s="411"/>
      <c r="S111" s="411"/>
      <c r="T111" s="411"/>
      <c r="U111" s="411"/>
      <c r="V111" s="119" t="str">
        <f t="shared" si="2"/>
        <v/>
      </c>
      <c r="AA111" s="119" t="str">
        <f>IF(AB111&lt;&gt;"",61,"")</f>
        <v/>
      </c>
      <c r="AB111" s="427"/>
      <c r="AC111" s="427"/>
      <c r="AD111" s="427"/>
      <c r="AE111" s="411"/>
      <c r="AF111" s="411"/>
      <c r="AG111" s="411"/>
      <c r="AH111" s="411"/>
      <c r="AI111" s="119" t="str">
        <f t="shared" si="3"/>
        <v/>
      </c>
      <c r="AN111" s="119" t="str">
        <f>IF(AO111&lt;&gt;"",86,"")</f>
        <v/>
      </c>
      <c r="AO111" s="427"/>
      <c r="AP111" s="427"/>
      <c r="AQ111" s="427"/>
      <c r="AR111" s="411"/>
      <c r="AS111" s="411"/>
      <c r="AT111" s="411"/>
      <c r="AU111" s="411"/>
      <c r="AV111" s="119" t="str">
        <f t="shared" si="4"/>
        <v/>
      </c>
      <c r="BA111" s="119" t="str">
        <f>IF(BB111&lt;&gt;"",111,"")</f>
        <v/>
      </c>
      <c r="BB111" s="427"/>
      <c r="BC111" s="427"/>
      <c r="BD111" s="427"/>
      <c r="BE111" s="411"/>
      <c r="BF111" s="411"/>
      <c r="BG111" s="411"/>
      <c r="BH111" s="411"/>
      <c r="BI111" s="119" t="str">
        <f t="shared" si="5"/>
        <v/>
      </c>
      <c r="BN111" s="119" t="str">
        <f>IF(BO111&lt;&gt;"",136,"")</f>
        <v/>
      </c>
      <c r="BO111" s="427"/>
      <c r="BP111" s="427"/>
      <c r="BQ111" s="427"/>
      <c r="BR111" s="411"/>
      <c r="BS111" s="411"/>
      <c r="BT111" s="411"/>
      <c r="BU111" s="411"/>
      <c r="BV111" s="119" t="str">
        <f t="shared" si="6"/>
        <v/>
      </c>
      <c r="CB111" s="119">
        <f t="shared" si="0"/>
        <v>14</v>
      </c>
    </row>
    <row r="112" spans="1:80" s="28" customFormat="1" ht="18" customHeight="1" x14ac:dyDescent="0.3">
      <c r="A112" s="119" t="str">
        <f>IF(B112&lt;&gt;"",12,"")</f>
        <v/>
      </c>
      <c r="B112" s="427"/>
      <c r="C112" s="427"/>
      <c r="D112" s="427"/>
      <c r="E112" s="411"/>
      <c r="F112" s="411"/>
      <c r="G112" s="428"/>
      <c r="H112" s="428"/>
      <c r="I112" s="119" t="str">
        <f t="shared" si="1"/>
        <v/>
      </c>
      <c r="N112" s="119" t="str">
        <f>IF(O112&lt;&gt;"",37,"")</f>
        <v/>
      </c>
      <c r="O112" s="427"/>
      <c r="P112" s="427"/>
      <c r="Q112" s="427"/>
      <c r="R112" s="411"/>
      <c r="S112" s="411"/>
      <c r="T112" s="411"/>
      <c r="U112" s="411"/>
      <c r="V112" s="119" t="str">
        <f t="shared" si="2"/>
        <v/>
      </c>
      <c r="AA112" s="119" t="str">
        <f>IF(AB112&lt;&gt;"",62,"")</f>
        <v/>
      </c>
      <c r="AB112" s="427"/>
      <c r="AC112" s="427"/>
      <c r="AD112" s="427"/>
      <c r="AE112" s="411"/>
      <c r="AF112" s="411"/>
      <c r="AG112" s="411"/>
      <c r="AH112" s="411"/>
      <c r="AI112" s="119" t="str">
        <f t="shared" si="3"/>
        <v/>
      </c>
      <c r="AN112" s="119" t="str">
        <f>IF(AO112&lt;&gt;"",87,"")</f>
        <v/>
      </c>
      <c r="AO112" s="427"/>
      <c r="AP112" s="427"/>
      <c r="AQ112" s="427"/>
      <c r="AR112" s="411"/>
      <c r="AS112" s="411"/>
      <c r="AT112" s="411"/>
      <c r="AU112" s="411"/>
      <c r="AV112" s="119" t="str">
        <f t="shared" si="4"/>
        <v/>
      </c>
      <c r="BA112" s="119" t="str">
        <f>IF(BB112&lt;&gt;"",112,"")</f>
        <v/>
      </c>
      <c r="BB112" s="427"/>
      <c r="BC112" s="427"/>
      <c r="BD112" s="427"/>
      <c r="BE112" s="411"/>
      <c r="BF112" s="411"/>
      <c r="BG112" s="411"/>
      <c r="BH112" s="411"/>
      <c r="BI112" s="119" t="str">
        <f t="shared" si="5"/>
        <v/>
      </c>
      <c r="BN112" s="119" t="str">
        <f>IF(BO112&lt;&gt;"",137,"")</f>
        <v/>
      </c>
      <c r="BO112" s="427"/>
      <c r="BP112" s="427"/>
      <c r="BQ112" s="427"/>
      <c r="BR112" s="411"/>
      <c r="BS112" s="411"/>
      <c r="BT112" s="411"/>
      <c r="BU112" s="411"/>
      <c r="BV112" s="119" t="str">
        <f t="shared" si="6"/>
        <v/>
      </c>
      <c r="CB112" s="119">
        <f>COUNT(CB113:CB139)</f>
        <v>13</v>
      </c>
    </row>
    <row r="113" spans="1:81" s="28" customFormat="1" ht="18" customHeight="1" x14ac:dyDescent="0.3">
      <c r="A113" s="119" t="str">
        <f>IF(B113&lt;&gt;"",13,"")</f>
        <v/>
      </c>
      <c r="B113" s="427"/>
      <c r="C113" s="427"/>
      <c r="D113" s="427"/>
      <c r="E113" s="411"/>
      <c r="F113" s="411"/>
      <c r="G113" s="428"/>
      <c r="H113" s="428"/>
      <c r="I113" s="119" t="str">
        <f t="shared" si="1"/>
        <v/>
      </c>
      <c r="N113" s="119" t="str">
        <f>IF(O113&lt;&gt;"",38,"")</f>
        <v/>
      </c>
      <c r="O113" s="427"/>
      <c r="P113" s="427"/>
      <c r="Q113" s="427"/>
      <c r="R113" s="411"/>
      <c r="S113" s="411"/>
      <c r="T113" s="411"/>
      <c r="U113" s="411"/>
      <c r="V113" s="119" t="str">
        <f t="shared" si="2"/>
        <v/>
      </c>
      <c r="AA113" s="119" t="str">
        <f>IF(AB113&lt;&gt;"",63,"")</f>
        <v/>
      </c>
      <c r="AB113" s="427"/>
      <c r="AC113" s="427"/>
      <c r="AD113" s="427"/>
      <c r="AE113" s="411"/>
      <c r="AF113" s="411"/>
      <c r="AG113" s="411"/>
      <c r="AH113" s="411"/>
      <c r="AI113" s="119" t="str">
        <f t="shared" si="3"/>
        <v/>
      </c>
      <c r="AN113" s="119" t="str">
        <f>IF(AO113&lt;&gt;"",88,"")</f>
        <v/>
      </c>
      <c r="AO113" s="427"/>
      <c r="AP113" s="427"/>
      <c r="AQ113" s="427"/>
      <c r="AR113" s="411"/>
      <c r="AS113" s="411"/>
      <c r="AT113" s="411"/>
      <c r="AU113" s="411"/>
      <c r="AV113" s="119" t="str">
        <f t="shared" si="4"/>
        <v/>
      </c>
      <c r="BA113" s="119" t="str">
        <f>IF(BB113&lt;&gt;"",113,"")</f>
        <v/>
      </c>
      <c r="BB113" s="427"/>
      <c r="BC113" s="427"/>
      <c r="BD113" s="427"/>
      <c r="BE113" s="411"/>
      <c r="BF113" s="411"/>
      <c r="BG113" s="411"/>
      <c r="BH113" s="411"/>
      <c r="BI113" s="119" t="str">
        <f t="shared" si="5"/>
        <v/>
      </c>
      <c r="BN113" s="119" t="str">
        <f>IF(BO113&lt;&gt;"",138,"")</f>
        <v/>
      </c>
      <c r="BO113" s="427"/>
      <c r="BP113" s="427"/>
      <c r="BQ113" s="427"/>
      <c r="BR113" s="411"/>
      <c r="BS113" s="411"/>
      <c r="BT113" s="411"/>
      <c r="BU113" s="411"/>
      <c r="BV113" s="119" t="str">
        <f t="shared" si="6"/>
        <v/>
      </c>
      <c r="CB113" s="119">
        <f>COUNT(CB114:CB139)</f>
        <v>12</v>
      </c>
    </row>
    <row r="114" spans="1:81" s="28" customFormat="1" ht="18" customHeight="1" x14ac:dyDescent="0.3">
      <c r="A114" s="119" t="str">
        <f>IF(B114&lt;&gt;"",14,"")</f>
        <v/>
      </c>
      <c r="B114" s="427"/>
      <c r="C114" s="427"/>
      <c r="D114" s="427"/>
      <c r="E114" s="411"/>
      <c r="F114" s="411"/>
      <c r="G114" s="428"/>
      <c r="H114" s="428"/>
      <c r="I114" s="119" t="str">
        <f t="shared" si="1"/>
        <v/>
      </c>
      <c r="N114" s="119" t="str">
        <f>IF(O114&lt;&gt;"",39,"")</f>
        <v/>
      </c>
      <c r="O114" s="427"/>
      <c r="P114" s="427"/>
      <c r="Q114" s="427"/>
      <c r="R114" s="411"/>
      <c r="S114" s="411"/>
      <c r="T114" s="411"/>
      <c r="U114" s="411"/>
      <c r="V114" s="119" t="str">
        <f t="shared" si="2"/>
        <v/>
      </c>
      <c r="AA114" s="119" t="str">
        <f>IF(AB114&lt;&gt;"",64,"")</f>
        <v/>
      </c>
      <c r="AB114" s="427"/>
      <c r="AC114" s="427"/>
      <c r="AD114" s="427"/>
      <c r="AE114" s="411"/>
      <c r="AF114" s="411"/>
      <c r="AG114" s="411"/>
      <c r="AH114" s="411"/>
      <c r="AI114" s="119" t="str">
        <f t="shared" si="3"/>
        <v/>
      </c>
      <c r="AN114" s="119" t="str">
        <f>IF(AO114&lt;&gt;"",89,"")</f>
        <v/>
      </c>
      <c r="AO114" s="427"/>
      <c r="AP114" s="427"/>
      <c r="AQ114" s="427"/>
      <c r="AR114" s="411"/>
      <c r="AS114" s="411"/>
      <c r="AT114" s="411"/>
      <c r="AU114" s="411"/>
      <c r="AV114" s="119" t="str">
        <f t="shared" si="4"/>
        <v/>
      </c>
      <c r="BA114" s="119" t="str">
        <f>IF(BB114&lt;&gt;"",114,"")</f>
        <v/>
      </c>
      <c r="BB114" s="427"/>
      <c r="BC114" s="427"/>
      <c r="BD114" s="427"/>
      <c r="BE114" s="411"/>
      <c r="BF114" s="411"/>
      <c r="BG114" s="411"/>
      <c r="BH114" s="411"/>
      <c r="BI114" s="119" t="str">
        <f t="shared" si="5"/>
        <v/>
      </c>
      <c r="BN114" s="119" t="str">
        <f>IF(BO114&lt;&gt;"",139,"")</f>
        <v/>
      </c>
      <c r="BO114" s="427"/>
      <c r="BP114" s="427"/>
      <c r="BQ114" s="427"/>
      <c r="BR114" s="411"/>
      <c r="BS114" s="411"/>
      <c r="BT114" s="411"/>
      <c r="BU114" s="411"/>
      <c r="BV114" s="119" t="str">
        <f t="shared" si="6"/>
        <v/>
      </c>
      <c r="CB114" s="119">
        <f>COUNT(CB115:CB139)</f>
        <v>11</v>
      </c>
    </row>
    <row r="115" spans="1:81" s="28" customFormat="1" ht="18" customHeight="1" x14ac:dyDescent="0.3">
      <c r="A115" s="119" t="str">
        <f>IF(B115&lt;&gt;"",15,"")</f>
        <v/>
      </c>
      <c r="B115" s="427"/>
      <c r="C115" s="427"/>
      <c r="D115" s="427"/>
      <c r="E115" s="411"/>
      <c r="F115" s="411"/>
      <c r="G115" s="428"/>
      <c r="H115" s="428"/>
      <c r="I115" s="119" t="str">
        <f t="shared" si="1"/>
        <v/>
      </c>
      <c r="N115" s="119" t="str">
        <f>IF(O115&lt;&gt;"",40,"")</f>
        <v/>
      </c>
      <c r="O115" s="427"/>
      <c r="P115" s="427"/>
      <c r="Q115" s="427"/>
      <c r="R115" s="411"/>
      <c r="S115" s="411"/>
      <c r="T115" s="411"/>
      <c r="U115" s="411"/>
      <c r="V115" s="119" t="str">
        <f t="shared" si="2"/>
        <v/>
      </c>
      <c r="AA115" s="119" t="str">
        <f>IF(AB115&lt;&gt;"",65,"")</f>
        <v/>
      </c>
      <c r="AB115" s="427"/>
      <c r="AC115" s="427"/>
      <c r="AD115" s="427"/>
      <c r="AE115" s="411"/>
      <c r="AF115" s="411"/>
      <c r="AG115" s="411"/>
      <c r="AH115" s="411"/>
      <c r="AI115" s="119" t="str">
        <f t="shared" si="3"/>
        <v/>
      </c>
      <c r="AN115" s="119" t="str">
        <f>IF(AO115&lt;&gt;"",90,"")</f>
        <v/>
      </c>
      <c r="AO115" s="427"/>
      <c r="AP115" s="427"/>
      <c r="AQ115" s="427"/>
      <c r="AR115" s="411"/>
      <c r="AS115" s="411"/>
      <c r="AT115" s="411"/>
      <c r="AU115" s="411"/>
      <c r="AV115" s="119" t="str">
        <f t="shared" si="4"/>
        <v/>
      </c>
      <c r="BA115" s="119" t="str">
        <f>IF(BB115&lt;&gt;"",115,"")</f>
        <v/>
      </c>
      <c r="BB115" s="427"/>
      <c r="BC115" s="427"/>
      <c r="BD115" s="427"/>
      <c r="BE115" s="411"/>
      <c r="BF115" s="411"/>
      <c r="BG115" s="411"/>
      <c r="BH115" s="411"/>
      <c r="BI115" s="119" t="str">
        <f t="shared" si="5"/>
        <v/>
      </c>
      <c r="BN115" s="119" t="str">
        <f>IF(BO115&lt;&gt;"",140,"")</f>
        <v/>
      </c>
      <c r="BO115" s="427"/>
      <c r="BP115" s="427"/>
      <c r="BQ115" s="427"/>
      <c r="BR115" s="411"/>
      <c r="BS115" s="411"/>
      <c r="BT115" s="411"/>
      <c r="BU115" s="411"/>
      <c r="BV115" s="119" t="str">
        <f t="shared" si="6"/>
        <v/>
      </c>
      <c r="CB115" s="119">
        <f>COUNT(CB116:CB140)</f>
        <v>10</v>
      </c>
    </row>
    <row r="116" spans="1:81" s="28" customFormat="1" ht="18" customHeight="1" x14ac:dyDescent="0.3">
      <c r="A116" s="119" t="str">
        <f>IF(B116&lt;&gt;"",16,"")</f>
        <v/>
      </c>
      <c r="B116" s="427"/>
      <c r="C116" s="427"/>
      <c r="D116" s="427"/>
      <c r="E116" s="411"/>
      <c r="F116" s="411"/>
      <c r="G116" s="428"/>
      <c r="H116" s="428"/>
      <c r="I116" s="119" t="str">
        <f t="shared" si="1"/>
        <v/>
      </c>
      <c r="N116" s="119" t="str">
        <f>IF(O116&lt;&gt;"",41,"")</f>
        <v/>
      </c>
      <c r="O116" s="427"/>
      <c r="P116" s="427"/>
      <c r="Q116" s="427"/>
      <c r="R116" s="411"/>
      <c r="S116" s="411"/>
      <c r="T116" s="411"/>
      <c r="U116" s="411"/>
      <c r="V116" s="119" t="str">
        <f t="shared" si="2"/>
        <v/>
      </c>
      <c r="AA116" s="119" t="str">
        <f>IF(AB116&lt;&gt;"",66,"")</f>
        <v/>
      </c>
      <c r="AB116" s="427"/>
      <c r="AC116" s="427"/>
      <c r="AD116" s="427"/>
      <c r="AE116" s="411"/>
      <c r="AF116" s="411"/>
      <c r="AG116" s="411"/>
      <c r="AH116" s="411"/>
      <c r="AI116" s="119" t="str">
        <f t="shared" si="3"/>
        <v/>
      </c>
      <c r="AN116" s="119" t="str">
        <f>IF(AO116&lt;&gt;"",91,"")</f>
        <v/>
      </c>
      <c r="AO116" s="427"/>
      <c r="AP116" s="427"/>
      <c r="AQ116" s="427"/>
      <c r="AR116" s="411"/>
      <c r="AS116" s="411"/>
      <c r="AT116" s="411"/>
      <c r="AU116" s="411"/>
      <c r="AV116" s="119" t="str">
        <f t="shared" si="4"/>
        <v/>
      </c>
      <c r="BA116" s="119" t="str">
        <f>IF(BB116&lt;&gt;"",116,"")</f>
        <v/>
      </c>
      <c r="BB116" s="427"/>
      <c r="BC116" s="427"/>
      <c r="BD116" s="427"/>
      <c r="BE116" s="411"/>
      <c r="BF116" s="411"/>
      <c r="BG116" s="411"/>
      <c r="BH116" s="411"/>
      <c r="BI116" s="119" t="str">
        <f t="shared" si="5"/>
        <v/>
      </c>
      <c r="BN116" s="119" t="str">
        <f>IF(BO116&lt;&gt;"",141,"")</f>
        <v/>
      </c>
      <c r="BO116" s="427"/>
      <c r="BP116" s="427"/>
      <c r="BQ116" s="427"/>
      <c r="BR116" s="411"/>
      <c r="BS116" s="411"/>
      <c r="BT116" s="411"/>
      <c r="BU116" s="411"/>
      <c r="BV116" s="119" t="str">
        <f t="shared" si="6"/>
        <v/>
      </c>
      <c r="CB116" s="119">
        <f>COUNT(CB117:CB141)</f>
        <v>9</v>
      </c>
    </row>
    <row r="117" spans="1:81" s="28" customFormat="1" ht="18" customHeight="1" x14ac:dyDescent="0.3">
      <c r="A117" s="119" t="str">
        <f>IF(B117&lt;&gt;"",17,"")</f>
        <v/>
      </c>
      <c r="B117" s="427"/>
      <c r="C117" s="427"/>
      <c r="D117" s="427"/>
      <c r="E117" s="411"/>
      <c r="F117" s="411"/>
      <c r="G117" s="428"/>
      <c r="H117" s="428"/>
      <c r="I117" s="119" t="str">
        <f t="shared" si="1"/>
        <v/>
      </c>
      <c r="N117" s="119" t="str">
        <f>IF(O117&lt;&gt;"",42,"")</f>
        <v/>
      </c>
      <c r="O117" s="427"/>
      <c r="P117" s="427"/>
      <c r="Q117" s="427"/>
      <c r="R117" s="411"/>
      <c r="S117" s="411"/>
      <c r="T117" s="411"/>
      <c r="U117" s="411"/>
      <c r="V117" s="119" t="str">
        <f t="shared" si="2"/>
        <v/>
      </c>
      <c r="AA117" s="119" t="str">
        <f>IF(AB117&lt;&gt;"",67,"")</f>
        <v/>
      </c>
      <c r="AB117" s="427"/>
      <c r="AC117" s="427"/>
      <c r="AD117" s="427"/>
      <c r="AE117" s="411"/>
      <c r="AF117" s="411"/>
      <c r="AG117" s="411"/>
      <c r="AH117" s="411"/>
      <c r="AI117" s="119" t="str">
        <f t="shared" si="3"/>
        <v/>
      </c>
      <c r="AN117" s="119" t="str">
        <f>IF(AO117&lt;&gt;"",92,"")</f>
        <v/>
      </c>
      <c r="AO117" s="427"/>
      <c r="AP117" s="427"/>
      <c r="AQ117" s="427"/>
      <c r="AR117" s="411"/>
      <c r="AS117" s="411"/>
      <c r="AT117" s="411"/>
      <c r="AU117" s="411"/>
      <c r="AV117" s="119" t="str">
        <f t="shared" si="4"/>
        <v/>
      </c>
      <c r="BA117" s="119" t="str">
        <f>IF(BB117&lt;&gt;"",117,"")</f>
        <v/>
      </c>
      <c r="BB117" s="427"/>
      <c r="BC117" s="427"/>
      <c r="BD117" s="427"/>
      <c r="BE117" s="411"/>
      <c r="BF117" s="411"/>
      <c r="BG117" s="411"/>
      <c r="BH117" s="411"/>
      <c r="BI117" s="119" t="str">
        <f t="shared" si="5"/>
        <v/>
      </c>
      <c r="BN117" s="119" t="str">
        <f>IF(BO117&lt;&gt;"",142,"")</f>
        <v/>
      </c>
      <c r="BO117" s="427"/>
      <c r="BP117" s="427"/>
      <c r="BQ117" s="427"/>
      <c r="BR117" s="411"/>
      <c r="BS117" s="411"/>
      <c r="BT117" s="411"/>
      <c r="BU117" s="411"/>
      <c r="BV117" s="119" t="str">
        <f t="shared" si="6"/>
        <v/>
      </c>
      <c r="CB117" s="119">
        <f>COUNT(CB118:CB142)</f>
        <v>8</v>
      </c>
    </row>
    <row r="118" spans="1:81" s="28" customFormat="1" ht="18" customHeight="1" x14ac:dyDescent="0.3">
      <c r="A118" s="119" t="str">
        <f>IF(B118&lt;&gt;"",18,"")</f>
        <v/>
      </c>
      <c r="B118" s="427"/>
      <c r="C118" s="427"/>
      <c r="D118" s="427"/>
      <c r="E118" s="411"/>
      <c r="F118" s="411"/>
      <c r="G118" s="428"/>
      <c r="H118" s="428"/>
      <c r="I118" s="119" t="str">
        <f t="shared" si="1"/>
        <v/>
      </c>
      <c r="N118" s="119" t="str">
        <f>IF(O118&lt;&gt;"",43,"")</f>
        <v/>
      </c>
      <c r="O118" s="427"/>
      <c r="P118" s="427"/>
      <c r="Q118" s="427"/>
      <c r="R118" s="411"/>
      <c r="S118" s="411"/>
      <c r="T118" s="411"/>
      <c r="U118" s="411"/>
      <c r="V118" s="119" t="str">
        <f t="shared" si="2"/>
        <v/>
      </c>
      <c r="AA118" s="119" t="str">
        <f>IF(AB118&lt;&gt;"",68,"")</f>
        <v/>
      </c>
      <c r="AB118" s="427"/>
      <c r="AC118" s="427"/>
      <c r="AD118" s="427"/>
      <c r="AE118" s="411"/>
      <c r="AF118" s="411"/>
      <c r="AG118" s="411"/>
      <c r="AH118" s="411"/>
      <c r="AI118" s="119" t="str">
        <f t="shared" si="3"/>
        <v/>
      </c>
      <c r="AN118" s="119" t="str">
        <f>IF(AO118&lt;&gt;"",93,"")</f>
        <v/>
      </c>
      <c r="AO118" s="427"/>
      <c r="AP118" s="427"/>
      <c r="AQ118" s="427"/>
      <c r="AR118" s="411"/>
      <c r="AS118" s="411"/>
      <c r="AT118" s="411"/>
      <c r="AU118" s="411"/>
      <c r="AV118" s="119" t="str">
        <f t="shared" si="4"/>
        <v/>
      </c>
      <c r="BA118" s="119" t="str">
        <f>IF(BB118&lt;&gt;"",118,"")</f>
        <v/>
      </c>
      <c r="BB118" s="427"/>
      <c r="BC118" s="427"/>
      <c r="BD118" s="427"/>
      <c r="BE118" s="411"/>
      <c r="BF118" s="411"/>
      <c r="BG118" s="411"/>
      <c r="BH118" s="411"/>
      <c r="BI118" s="119" t="str">
        <f t="shared" si="5"/>
        <v/>
      </c>
      <c r="BN118" s="119" t="str">
        <f>IF(BO118&lt;&gt;"",143,"")</f>
        <v/>
      </c>
      <c r="BO118" s="427"/>
      <c r="BP118" s="427"/>
      <c r="BQ118" s="427"/>
      <c r="BR118" s="411"/>
      <c r="BS118" s="411"/>
      <c r="BT118" s="411"/>
      <c r="BU118" s="411"/>
      <c r="BV118" s="119" t="str">
        <f t="shared" si="6"/>
        <v/>
      </c>
      <c r="CB118" s="119">
        <f>COUNT(CB119:CB143)</f>
        <v>7</v>
      </c>
    </row>
    <row r="119" spans="1:81" s="28" customFormat="1" ht="18" customHeight="1" x14ac:dyDescent="0.3">
      <c r="A119" s="119" t="str">
        <f>IF(B119&lt;&gt;"",19,"")</f>
        <v/>
      </c>
      <c r="B119" s="427"/>
      <c r="C119" s="427"/>
      <c r="D119" s="427"/>
      <c r="E119" s="411"/>
      <c r="F119" s="411"/>
      <c r="G119" s="428"/>
      <c r="H119" s="428"/>
      <c r="I119" s="119" t="str">
        <f t="shared" si="1"/>
        <v/>
      </c>
      <c r="N119" s="119" t="str">
        <f>IF(O119&lt;&gt;"",44,"")</f>
        <v/>
      </c>
      <c r="O119" s="427"/>
      <c r="P119" s="427"/>
      <c r="Q119" s="427"/>
      <c r="R119" s="411"/>
      <c r="S119" s="411"/>
      <c r="T119" s="411"/>
      <c r="U119" s="411"/>
      <c r="V119" s="119" t="str">
        <f t="shared" si="2"/>
        <v/>
      </c>
      <c r="AA119" s="119" t="str">
        <f>IF(AB119&lt;&gt;"",69,"")</f>
        <v/>
      </c>
      <c r="AB119" s="427"/>
      <c r="AC119" s="427"/>
      <c r="AD119" s="427"/>
      <c r="AE119" s="411"/>
      <c r="AF119" s="411"/>
      <c r="AG119" s="411"/>
      <c r="AH119" s="411"/>
      <c r="AI119" s="119" t="str">
        <f t="shared" si="3"/>
        <v/>
      </c>
      <c r="AN119" s="119" t="str">
        <f>IF(AO119&lt;&gt;"",94,"")</f>
        <v/>
      </c>
      <c r="AO119" s="427"/>
      <c r="AP119" s="427"/>
      <c r="AQ119" s="427"/>
      <c r="AR119" s="411"/>
      <c r="AS119" s="411"/>
      <c r="AT119" s="411"/>
      <c r="AU119" s="411"/>
      <c r="AV119" s="119" t="str">
        <f t="shared" si="4"/>
        <v/>
      </c>
      <c r="BA119" s="119" t="str">
        <f>IF(BB119&lt;&gt;"",119,"")</f>
        <v/>
      </c>
      <c r="BB119" s="427"/>
      <c r="BC119" s="427"/>
      <c r="BD119" s="427"/>
      <c r="BE119" s="411"/>
      <c r="BF119" s="411"/>
      <c r="BG119" s="411"/>
      <c r="BH119" s="411"/>
      <c r="BI119" s="119" t="str">
        <f t="shared" si="5"/>
        <v/>
      </c>
      <c r="BN119" s="119" t="str">
        <f>IF(BO119&lt;&gt;"",144,"")</f>
        <v/>
      </c>
      <c r="BO119" s="427"/>
      <c r="BP119" s="427"/>
      <c r="BQ119" s="427"/>
      <c r="BR119" s="411"/>
      <c r="BS119" s="411"/>
      <c r="BT119" s="411"/>
      <c r="BU119" s="411"/>
      <c r="BV119" s="119" t="str">
        <f t="shared" si="6"/>
        <v/>
      </c>
      <c r="CB119" s="119">
        <f>COUNT(CB120:CB145)</f>
        <v>6</v>
      </c>
    </row>
    <row r="120" spans="1:81" s="28" customFormat="1" ht="18" customHeight="1" x14ac:dyDescent="0.3">
      <c r="A120" s="119" t="str">
        <f>IF(B120&lt;&gt;"",20,"")</f>
        <v/>
      </c>
      <c r="B120" s="427"/>
      <c r="C120" s="427"/>
      <c r="D120" s="427"/>
      <c r="E120" s="411"/>
      <c r="F120" s="411"/>
      <c r="G120" s="428"/>
      <c r="H120" s="428"/>
      <c r="I120" s="119" t="str">
        <f t="shared" si="1"/>
        <v/>
      </c>
      <c r="N120" s="119" t="str">
        <f>IF(O120&lt;&gt;"",45,"")</f>
        <v/>
      </c>
      <c r="O120" s="427"/>
      <c r="P120" s="427"/>
      <c r="Q120" s="427"/>
      <c r="R120" s="411"/>
      <c r="S120" s="411"/>
      <c r="T120" s="411"/>
      <c r="U120" s="411"/>
      <c r="V120" s="119" t="str">
        <f t="shared" si="2"/>
        <v/>
      </c>
      <c r="AA120" s="119" t="str">
        <f>IF(AB120&lt;&gt;"",70,"")</f>
        <v/>
      </c>
      <c r="AB120" s="427"/>
      <c r="AC120" s="427"/>
      <c r="AD120" s="427"/>
      <c r="AE120" s="411"/>
      <c r="AF120" s="411"/>
      <c r="AG120" s="411"/>
      <c r="AH120" s="411"/>
      <c r="AI120" s="119" t="str">
        <f t="shared" si="3"/>
        <v/>
      </c>
      <c r="AN120" s="119" t="str">
        <f>IF(AO120&lt;&gt;"",95,"")</f>
        <v/>
      </c>
      <c r="AO120" s="427"/>
      <c r="AP120" s="427"/>
      <c r="AQ120" s="427"/>
      <c r="AR120" s="411"/>
      <c r="AS120" s="411"/>
      <c r="AT120" s="411"/>
      <c r="AU120" s="411"/>
      <c r="AV120" s="119" t="str">
        <f t="shared" si="4"/>
        <v/>
      </c>
      <c r="BA120" s="119" t="str">
        <f>IF(BB120&lt;&gt;"",120,"")</f>
        <v/>
      </c>
      <c r="BB120" s="427"/>
      <c r="BC120" s="427"/>
      <c r="BD120" s="427"/>
      <c r="BE120" s="411"/>
      <c r="BF120" s="411"/>
      <c r="BG120" s="411"/>
      <c r="BH120" s="411"/>
      <c r="BI120" s="119" t="str">
        <f t="shared" si="5"/>
        <v/>
      </c>
      <c r="BN120" s="119" t="str">
        <f>IF(BO120&lt;&gt;"",145,"")</f>
        <v/>
      </c>
      <c r="BO120" s="427"/>
      <c r="BP120" s="427"/>
      <c r="BQ120" s="427"/>
      <c r="BR120" s="411"/>
      <c r="BS120" s="411"/>
      <c r="BT120" s="411"/>
      <c r="BU120" s="411"/>
      <c r="BV120" s="119" t="str">
        <f t="shared" si="6"/>
        <v/>
      </c>
      <c r="CB120" s="119">
        <f>COUNT(CB121:CB146)</f>
        <v>5</v>
      </c>
    </row>
    <row r="121" spans="1:81" s="28" customFormat="1" ht="18" customHeight="1" x14ac:dyDescent="0.3">
      <c r="A121" s="119" t="str">
        <f>IF(B121&lt;&gt;"",21,"")</f>
        <v/>
      </c>
      <c r="B121" s="427"/>
      <c r="C121" s="427"/>
      <c r="D121" s="427"/>
      <c r="E121" s="411"/>
      <c r="F121" s="411"/>
      <c r="G121" s="428"/>
      <c r="H121" s="428"/>
      <c r="I121" s="119" t="str">
        <f t="shared" si="1"/>
        <v/>
      </c>
      <c r="N121" s="119" t="str">
        <f>IF(O121&lt;&gt;"",46,"")</f>
        <v/>
      </c>
      <c r="O121" s="427"/>
      <c r="P121" s="427"/>
      <c r="Q121" s="427"/>
      <c r="R121" s="411"/>
      <c r="S121" s="411"/>
      <c r="T121" s="411"/>
      <c r="U121" s="411"/>
      <c r="V121" s="119" t="str">
        <f t="shared" si="2"/>
        <v/>
      </c>
      <c r="AA121" s="119" t="str">
        <f>IF(AB121&lt;&gt;"",71,"")</f>
        <v/>
      </c>
      <c r="AB121" s="427"/>
      <c r="AC121" s="427"/>
      <c r="AD121" s="427"/>
      <c r="AE121" s="411"/>
      <c r="AF121" s="411"/>
      <c r="AG121" s="411"/>
      <c r="AH121" s="411"/>
      <c r="AI121" s="119" t="str">
        <f t="shared" si="3"/>
        <v/>
      </c>
      <c r="AN121" s="119" t="str">
        <f>IF(AO121&lt;&gt;"",96,"")</f>
        <v/>
      </c>
      <c r="AO121" s="427"/>
      <c r="AP121" s="427"/>
      <c r="AQ121" s="427"/>
      <c r="AR121" s="411"/>
      <c r="AS121" s="411"/>
      <c r="AT121" s="411"/>
      <c r="AU121" s="411"/>
      <c r="AV121" s="119" t="str">
        <f t="shared" si="4"/>
        <v/>
      </c>
      <c r="BA121" s="119" t="str">
        <f>IF(BB121&lt;&gt;"",121,"")</f>
        <v/>
      </c>
      <c r="BB121" s="427"/>
      <c r="BC121" s="427"/>
      <c r="BD121" s="427"/>
      <c r="BE121" s="411"/>
      <c r="BF121" s="411"/>
      <c r="BG121" s="411"/>
      <c r="BH121" s="411"/>
      <c r="BI121" s="119" t="str">
        <f t="shared" si="5"/>
        <v/>
      </c>
      <c r="BN121" s="119" t="str">
        <f>IF(BO121&lt;&gt;"",146,"")</f>
        <v/>
      </c>
      <c r="BO121" s="427"/>
      <c r="BP121" s="427"/>
      <c r="BQ121" s="427"/>
      <c r="BR121" s="411"/>
      <c r="BS121" s="411"/>
      <c r="BT121" s="411"/>
      <c r="BU121" s="411"/>
      <c r="BV121" s="119" t="str">
        <f t="shared" si="6"/>
        <v/>
      </c>
      <c r="CB121" s="119">
        <f>COUNT(CB122:CB151)</f>
        <v>4</v>
      </c>
    </row>
    <row r="122" spans="1:81" s="28" customFormat="1" ht="18" customHeight="1" x14ac:dyDescent="0.3">
      <c r="A122" s="119" t="str">
        <f>IF(B122&lt;&gt;"",22,"")</f>
        <v/>
      </c>
      <c r="B122" s="427"/>
      <c r="C122" s="427"/>
      <c r="D122" s="427"/>
      <c r="E122" s="411"/>
      <c r="F122" s="411"/>
      <c r="G122" s="428"/>
      <c r="H122" s="428"/>
      <c r="I122" s="119" t="str">
        <f t="shared" si="1"/>
        <v/>
      </c>
      <c r="N122" s="119" t="str">
        <f>IF(O122&lt;&gt;"",47,"")</f>
        <v/>
      </c>
      <c r="O122" s="427"/>
      <c r="P122" s="427"/>
      <c r="Q122" s="427"/>
      <c r="R122" s="411"/>
      <c r="S122" s="411"/>
      <c r="T122" s="411"/>
      <c r="U122" s="411"/>
      <c r="V122" s="119" t="str">
        <f t="shared" si="2"/>
        <v/>
      </c>
      <c r="AA122" s="119" t="str">
        <f>IF(AB122&lt;&gt;"",72,"")</f>
        <v/>
      </c>
      <c r="AB122" s="427"/>
      <c r="AC122" s="427"/>
      <c r="AD122" s="427"/>
      <c r="AE122" s="411"/>
      <c r="AF122" s="411"/>
      <c r="AG122" s="411"/>
      <c r="AH122" s="411"/>
      <c r="AI122" s="119" t="str">
        <f t="shared" si="3"/>
        <v/>
      </c>
      <c r="AN122" s="119" t="str">
        <f>IF(AO122&lt;&gt;"",97,"")</f>
        <v/>
      </c>
      <c r="AO122" s="427"/>
      <c r="AP122" s="427"/>
      <c r="AQ122" s="427"/>
      <c r="AR122" s="411"/>
      <c r="AS122" s="411"/>
      <c r="AT122" s="411"/>
      <c r="AU122" s="411"/>
      <c r="AV122" s="119" t="str">
        <f t="shared" si="4"/>
        <v/>
      </c>
      <c r="BA122" s="119" t="str">
        <f>IF(BB122&lt;&gt;"",122,"")</f>
        <v/>
      </c>
      <c r="BB122" s="427"/>
      <c r="BC122" s="427"/>
      <c r="BD122" s="427"/>
      <c r="BE122" s="411"/>
      <c r="BF122" s="411"/>
      <c r="BG122" s="411"/>
      <c r="BH122" s="411"/>
      <c r="BI122" s="119" t="str">
        <f t="shared" si="5"/>
        <v/>
      </c>
      <c r="BN122" s="119" t="str">
        <f>IF(BO122&lt;&gt;"",147,"")</f>
        <v/>
      </c>
      <c r="BO122" s="427"/>
      <c r="BP122" s="427"/>
      <c r="BQ122" s="427"/>
      <c r="BR122" s="411"/>
      <c r="BS122" s="411"/>
      <c r="BT122" s="411"/>
      <c r="BU122" s="411"/>
      <c r="BV122" s="119" t="str">
        <f t="shared" si="6"/>
        <v/>
      </c>
      <c r="CB122" s="119">
        <f>COUNT(CB123:CB152)</f>
        <v>3</v>
      </c>
    </row>
    <row r="123" spans="1:81" s="28" customFormat="1" ht="18" customHeight="1" x14ac:dyDescent="0.3">
      <c r="A123" s="119" t="str">
        <f>IF(B123&lt;&gt;"",23,"")</f>
        <v/>
      </c>
      <c r="B123" s="427"/>
      <c r="C123" s="427"/>
      <c r="D123" s="427"/>
      <c r="E123" s="411"/>
      <c r="F123" s="411"/>
      <c r="G123" s="428"/>
      <c r="H123" s="428"/>
      <c r="I123" s="119" t="str">
        <f t="shared" si="1"/>
        <v/>
      </c>
      <c r="N123" s="119" t="str">
        <f>IF(O123&lt;&gt;"",48,"")</f>
        <v/>
      </c>
      <c r="O123" s="427"/>
      <c r="P123" s="427"/>
      <c r="Q123" s="427"/>
      <c r="R123" s="411"/>
      <c r="S123" s="411"/>
      <c r="T123" s="411"/>
      <c r="U123" s="411"/>
      <c r="V123" s="119" t="str">
        <f t="shared" si="2"/>
        <v/>
      </c>
      <c r="AA123" s="119" t="str">
        <f>IF(AB123&lt;&gt;"",73,"")</f>
        <v/>
      </c>
      <c r="AB123" s="427"/>
      <c r="AC123" s="427"/>
      <c r="AD123" s="427"/>
      <c r="AE123" s="411"/>
      <c r="AF123" s="411"/>
      <c r="AG123" s="411"/>
      <c r="AH123" s="411"/>
      <c r="AI123" s="119" t="str">
        <f t="shared" si="3"/>
        <v/>
      </c>
      <c r="AN123" s="119" t="str">
        <f>IF(AO123&lt;&gt;"",98,"")</f>
        <v/>
      </c>
      <c r="AO123" s="427"/>
      <c r="AP123" s="427"/>
      <c r="AQ123" s="427"/>
      <c r="AR123" s="411"/>
      <c r="AS123" s="411"/>
      <c r="AT123" s="411"/>
      <c r="AU123" s="411"/>
      <c r="AV123" s="119" t="str">
        <f t="shared" si="4"/>
        <v/>
      </c>
      <c r="BA123" s="119" t="str">
        <f>IF(BB123&lt;&gt;"",123,"")</f>
        <v/>
      </c>
      <c r="BB123" s="427"/>
      <c r="BC123" s="427"/>
      <c r="BD123" s="427"/>
      <c r="BE123" s="411"/>
      <c r="BF123" s="411"/>
      <c r="BG123" s="411"/>
      <c r="BH123" s="411"/>
      <c r="BI123" s="119" t="str">
        <f t="shared" si="5"/>
        <v/>
      </c>
      <c r="BN123" s="119" t="str">
        <f>IF(BO123&lt;&gt;"",148,"")</f>
        <v/>
      </c>
      <c r="BO123" s="427"/>
      <c r="BP123" s="427"/>
      <c r="BQ123" s="427"/>
      <c r="BR123" s="411"/>
      <c r="BS123" s="411"/>
      <c r="BT123" s="411"/>
      <c r="BU123" s="411"/>
      <c r="BV123" s="119" t="str">
        <f t="shared" si="6"/>
        <v/>
      </c>
      <c r="CB123" s="119">
        <f>COUNT(CB124:CB153)</f>
        <v>2</v>
      </c>
    </row>
    <row r="124" spans="1:81" s="28" customFormat="1" ht="18" customHeight="1" x14ac:dyDescent="0.3">
      <c r="A124" s="119" t="str">
        <f>IF(B124&lt;&gt;"",24,"")</f>
        <v/>
      </c>
      <c r="B124" s="427"/>
      <c r="C124" s="427"/>
      <c r="D124" s="427"/>
      <c r="E124" s="411"/>
      <c r="F124" s="411"/>
      <c r="G124" s="428"/>
      <c r="H124" s="428"/>
      <c r="I124" s="119" t="str">
        <f t="shared" si="1"/>
        <v/>
      </c>
      <c r="N124" s="119" t="str">
        <f>IF(O124&lt;&gt;"",49,"")</f>
        <v/>
      </c>
      <c r="O124" s="427"/>
      <c r="P124" s="427"/>
      <c r="Q124" s="427"/>
      <c r="R124" s="411"/>
      <c r="S124" s="411"/>
      <c r="T124" s="411"/>
      <c r="U124" s="411"/>
      <c r="V124" s="119" t="str">
        <f t="shared" si="2"/>
        <v/>
      </c>
      <c r="AA124" s="119" t="str">
        <f>IF(AB124&lt;&gt;"",74,"")</f>
        <v/>
      </c>
      <c r="AB124" s="427"/>
      <c r="AC124" s="427"/>
      <c r="AD124" s="427"/>
      <c r="AE124" s="411"/>
      <c r="AF124" s="411"/>
      <c r="AG124" s="411"/>
      <c r="AH124" s="411"/>
      <c r="AI124" s="119" t="str">
        <f t="shared" si="3"/>
        <v/>
      </c>
      <c r="AN124" s="119" t="str">
        <f>IF(AO124&lt;&gt;"",99,"")</f>
        <v/>
      </c>
      <c r="AO124" s="427"/>
      <c r="AP124" s="427"/>
      <c r="AQ124" s="427"/>
      <c r="AR124" s="411"/>
      <c r="AS124" s="411"/>
      <c r="AT124" s="411"/>
      <c r="AU124" s="411"/>
      <c r="AV124" s="119" t="str">
        <f t="shared" si="4"/>
        <v/>
      </c>
      <c r="BA124" s="119" t="str">
        <f>IF(BB124&lt;&gt;"",124,"")</f>
        <v/>
      </c>
      <c r="BB124" s="427"/>
      <c r="BC124" s="427"/>
      <c r="BD124" s="427"/>
      <c r="BE124" s="411"/>
      <c r="BF124" s="411"/>
      <c r="BG124" s="411"/>
      <c r="BH124" s="411"/>
      <c r="BI124" s="119" t="str">
        <f t="shared" si="5"/>
        <v/>
      </c>
      <c r="BN124" s="119" t="str">
        <f>IF(BO124&lt;&gt;"",149,"")</f>
        <v/>
      </c>
      <c r="BO124" s="427"/>
      <c r="BP124" s="427"/>
      <c r="BQ124" s="427"/>
      <c r="BR124" s="411"/>
      <c r="BS124" s="411"/>
      <c r="BT124" s="411"/>
      <c r="BU124" s="411"/>
      <c r="BV124" s="119" t="str">
        <f t="shared" si="6"/>
        <v/>
      </c>
      <c r="CB124" s="119">
        <f>COUNT(CB125:CB154)</f>
        <v>1</v>
      </c>
    </row>
    <row r="125" spans="1:81" s="28" customFormat="1" ht="18" customHeight="1" x14ac:dyDescent="0.3">
      <c r="A125" s="119" t="str">
        <f>IF(B125&lt;&gt;"",25,"")</f>
        <v/>
      </c>
      <c r="B125" s="427"/>
      <c r="C125" s="427"/>
      <c r="D125" s="427"/>
      <c r="E125" s="411"/>
      <c r="F125" s="411"/>
      <c r="G125" s="428"/>
      <c r="H125" s="428"/>
      <c r="I125" s="119" t="str">
        <f t="shared" si="1"/>
        <v/>
      </c>
      <c r="N125" s="119" t="str">
        <f>IF(O125&lt;&gt;"",50,"")</f>
        <v/>
      </c>
      <c r="O125" s="427"/>
      <c r="P125" s="427"/>
      <c r="Q125" s="427"/>
      <c r="R125" s="411"/>
      <c r="S125" s="411"/>
      <c r="T125" s="411"/>
      <c r="U125" s="411"/>
      <c r="V125" s="119" t="str">
        <f t="shared" si="2"/>
        <v/>
      </c>
      <c r="AA125" s="119" t="str">
        <f>IF(AB125&lt;&gt;"",75,"")</f>
        <v/>
      </c>
      <c r="AB125" s="427"/>
      <c r="AC125" s="427"/>
      <c r="AD125" s="427"/>
      <c r="AE125" s="411"/>
      <c r="AF125" s="411"/>
      <c r="AG125" s="411"/>
      <c r="AH125" s="411"/>
      <c r="AI125" s="119" t="str">
        <f t="shared" si="3"/>
        <v/>
      </c>
      <c r="AN125" s="119" t="str">
        <f>IF(AO125&lt;&gt;"",100,"")</f>
        <v/>
      </c>
      <c r="AO125" s="427"/>
      <c r="AP125" s="427"/>
      <c r="AQ125" s="427"/>
      <c r="AR125" s="411"/>
      <c r="AS125" s="411"/>
      <c r="AT125" s="411"/>
      <c r="AU125" s="411"/>
      <c r="AV125" s="119" t="str">
        <f t="shared" si="4"/>
        <v/>
      </c>
      <c r="BA125" s="119" t="str">
        <f>IF(BB125&lt;&gt;"",125,"")</f>
        <v/>
      </c>
      <c r="BB125" s="427"/>
      <c r="BC125" s="427"/>
      <c r="BD125" s="427"/>
      <c r="BE125" s="411"/>
      <c r="BF125" s="411"/>
      <c r="BG125" s="411"/>
      <c r="BH125" s="411"/>
      <c r="BI125" s="119" t="str">
        <f t="shared" si="5"/>
        <v/>
      </c>
      <c r="BN125" s="119" t="str">
        <f>IF(BO125&lt;&gt;"",150,"")</f>
        <v/>
      </c>
      <c r="BO125" s="427"/>
      <c r="BP125" s="427"/>
      <c r="BQ125" s="427"/>
      <c r="BR125" s="411"/>
      <c r="BS125" s="411"/>
      <c r="BT125" s="411"/>
      <c r="BU125" s="411"/>
      <c r="BV125" s="119" t="str">
        <f t="shared" si="6"/>
        <v/>
      </c>
      <c r="CB125" s="119">
        <f>COUNT(CB126:CB155)</f>
        <v>0</v>
      </c>
    </row>
    <row r="126" spans="1:81" s="28" customFormat="1" ht="14" x14ac:dyDescent="0.3">
      <c r="A126" s="148"/>
      <c r="B126" s="163"/>
      <c r="C126" s="148"/>
      <c r="D126" s="148"/>
      <c r="E126" s="148"/>
      <c r="F126" s="148"/>
      <c r="O126" s="158"/>
      <c r="AB126" s="158"/>
      <c r="AO126" s="158"/>
      <c r="BB126" s="158"/>
      <c r="BO126" s="158"/>
    </row>
    <row r="127" spans="1:81" s="28" customFormat="1" ht="14" x14ac:dyDescent="0.3">
      <c r="A127" s="148"/>
      <c r="B127" s="163"/>
      <c r="C127" s="148"/>
      <c r="D127" s="148"/>
      <c r="E127" s="148"/>
      <c r="F127" s="148"/>
      <c r="O127" s="158"/>
      <c r="AB127" s="158"/>
      <c r="AO127" s="158"/>
      <c r="BB127" s="158"/>
      <c r="BO127" s="158"/>
    </row>
    <row r="128" spans="1:81" s="28" customFormat="1" ht="74.25" customHeight="1" x14ac:dyDescent="0.3">
      <c r="B128" s="317" t="str">
        <f>IF(AND($H$67&gt;=1,$H$67&lt;&gt;"Please Select",I87=""),"Place a current fully executed affiliation agreement for this active affiliate in the Application folder.  "&amp;"This document must be titled with the 'EXACT document name' and must be included as the type of file format listed below (not Word, 97-2003 [.doc], Word 2013 [.docx], or Excel [.xlsx]).",IF(AND($H$67&gt;=1,$H$67&lt;&gt;"Please Select",I87&lt;&gt;""),"Place a current fully executed affiliation agreement for this active affiliate and the State OEMS approval in the Application folder.  "&amp;"Each document must be titled with the 'EXACT document name' and must be included as the type of file format listed below (not Word, 97-2003 [.doc], Word 2013 [.docx], or Excel [.xlsx]).",""))</f>
        <v/>
      </c>
      <c r="C128" s="317"/>
      <c r="D128" s="317"/>
      <c r="E128" s="317"/>
      <c r="F128" s="317"/>
      <c r="G128" s="317"/>
      <c r="H128" s="317"/>
      <c r="I128" s="317"/>
      <c r="J128" s="317"/>
      <c r="O128" s="317" t="str">
        <f>IF(AND($H$67&gt;=2,$H$67&lt;&gt;"Please Select",V87=""),"Place a current fully executed affiliation agreement for this active affiliate in the Application folder.  "&amp;"This document must be titled with the 'EXACT document name' and must be included as the type of file format listed below (not Word, 97-2003 [.doc], Word 2013 [.docx], or Excel [.xlsx]).",IF(AND($H$67&gt;=2,$H$67&lt;&gt;"Please Select",V87&lt;&gt;""),"Place a current fully executed affiliation agreement for this active affiliate and the State OEMS approval in the Application folder.  "&amp;"Each document must be titled with the 'EXACT document name' and must be included as the type of file format listed below (not Word, 97-2003 [.doc], Word 2013 [.docx], or Excel [.xlsx]).",""))</f>
        <v/>
      </c>
      <c r="P128" s="317"/>
      <c r="Q128" s="317"/>
      <c r="R128" s="317"/>
      <c r="S128" s="317"/>
      <c r="T128" s="317"/>
      <c r="U128" s="317"/>
      <c r="V128" s="317"/>
      <c r="W128" s="317"/>
      <c r="AB128" s="317" t="str">
        <f>IF(AND($H$67&gt;=3,$H$67&lt;&gt;"Please Select",AI87=""),"Place a current fully executed affiliation agreement for this active affiliate in the Application folder.  "&amp;"This document must be titled with the 'EXACT document name' and must be included as the type of file format listed below (not Word, 97-2003 [.doc], Word 2013 [.docx], or Excel [.xlsx]).",IF(AND($H$67&gt;=3,$H$67&lt;&gt;"Please Select",AI87&lt;&gt;""),"Place a current fully executed affiliation agreement for this active affiliate and the State OEMS approval in the Application folder.  "&amp;"Each document must be titled with the 'EXACT document name' and must be included as the type of file format listed below (not Word, 97-2003 [.doc], Word 2013 [.docx], or Excel [.xlsx]).",""))</f>
        <v/>
      </c>
      <c r="AC128" s="317"/>
      <c r="AD128" s="317"/>
      <c r="AE128" s="317"/>
      <c r="AF128" s="317"/>
      <c r="AG128" s="317"/>
      <c r="AH128" s="317"/>
      <c r="AI128" s="317"/>
      <c r="AJ128" s="317"/>
      <c r="AO128" s="317" t="str">
        <f>IF(AND($H$67&gt;=4,$H$67&lt;&gt;"Please Select",AV87=""),"Place a current fully executed affiliation agreement for this active affiliate in the Application folder.  "&amp;"This document must be titled with the 'EXACT document name' and must be included as the type of file format listed below (not Word, 97-2003 [.doc], Word 2013 [.docx], or Excel [.xlsx]).",IF(AND($H$67&gt;=4,$H$67&lt;&gt;"Please Select",AV87&lt;&gt;""),"Place a current fully executed affiliation agreement for this active affiliate and the State OEMS approval in the Application folder.  "&amp;"Each document must be titled with the 'EXACT document name' and must be included as the type of file format listed below (not Word, 97-2003 [.doc], Word 2013 [.docx], or Excel [.xlsx]).",""))</f>
        <v/>
      </c>
      <c r="AP128" s="317"/>
      <c r="AQ128" s="317"/>
      <c r="AR128" s="317"/>
      <c r="AS128" s="317"/>
      <c r="AT128" s="317"/>
      <c r="AU128" s="317"/>
      <c r="AV128" s="317"/>
      <c r="AW128" s="317"/>
      <c r="BB128" s="317" t="str">
        <f>IF(AND($H$67&gt;=5,$H$67&lt;&gt;"Please Select",BI87=""),"Place a current fully executed affiliation agreement for this active affiliate in the Application folder.  "&amp;"This document must be titled with the 'EXACT document name' and must be included as the type of file format listed below (not Word, 97-2003 [.doc], Word 2013 [.docx], or Excel [.xlsx]).",IF(AND($H$67&gt;=5,$H$67&lt;&gt;"Please Select",BI87&lt;&gt;""),"Place a current fully executed affiliation agreement for this active affiliate and the State OEMS approval in the Application folder.  "&amp;"Each document must be titled with the 'EXACT document name' and must be included as the type of file format listed below (not Word, 97-2003 [.doc], Word 2013 [.docx], or Excel [.xlsx]).",""))</f>
        <v/>
      </c>
      <c r="BC128" s="317"/>
      <c r="BD128" s="317"/>
      <c r="BE128" s="317"/>
      <c r="BF128" s="317"/>
      <c r="BG128" s="317"/>
      <c r="BH128" s="317"/>
      <c r="BI128" s="317"/>
      <c r="BJ128" s="317"/>
      <c r="BO128" s="317" t="str">
        <f>IF(AND($H$67&gt;=6,$H$67&lt;&gt;"Please Select",BV87=""),"Place a current fully executed affiliation agreement for this active affiliate in the Application folder.  "&amp;"This document must be titled with the 'EXACT document name' and must be included as the type of file format listed below (not Word, 97-2003 [.doc], Word 2013 [.docx], or Excel [.xlsx]).",IF(AND($H$67&gt;=6,$H$67&lt;&gt;"Please Select",BV87&lt;&gt;""),"Place a current fully executed affiliation agreement for this active affiliate and the State OEMS approval in the Application folder.  "&amp;"Each document must be titled with the 'EXACT document name' and must be included as the type of file format listed below (not Word, 97-2003 [.doc], Word 2013 [.docx], or Excel [.xlsx]).",""))</f>
        <v/>
      </c>
      <c r="BP128" s="317"/>
      <c r="BQ128" s="317"/>
      <c r="BR128" s="317"/>
      <c r="BS128" s="317"/>
      <c r="BT128" s="317"/>
      <c r="BU128" s="317"/>
      <c r="BV128" s="317"/>
      <c r="BW128" s="317"/>
      <c r="CB128" s="137"/>
      <c r="CC128" s="137"/>
    </row>
    <row r="129" spans="1:81" s="28" customFormat="1" ht="27" customHeight="1" x14ac:dyDescent="0.3">
      <c r="C129" s="112"/>
      <c r="E129" s="270" t="str">
        <f>IF(AND($H$67&gt;=1, $H$67&lt;&gt;"Please Select"),"            Exact Document Name:","")</f>
        <v/>
      </c>
      <c r="F129" s="270"/>
      <c r="G129" s="270"/>
      <c r="H129" s="270"/>
      <c r="I129" s="270"/>
      <c r="J129" s="270"/>
      <c r="P129" s="112"/>
      <c r="R129" s="270" t="str">
        <f>IF(AND($H$67&gt;=2, $H$67&lt;&gt;"Please Select"),"            Exact Document Name:","")</f>
        <v/>
      </c>
      <c r="S129" s="270"/>
      <c r="T129" s="270"/>
      <c r="U129" s="270"/>
      <c r="V129" s="270"/>
      <c r="W129" s="270"/>
      <c r="AC129" s="112"/>
      <c r="AE129" s="270" t="str">
        <f>IF(AND($H$67&gt;=3, $H$67&lt;&gt;"Please Select"),"            Exact Document Name:","")</f>
        <v/>
      </c>
      <c r="AF129" s="270"/>
      <c r="AG129" s="270"/>
      <c r="AH129" s="270"/>
      <c r="AI129" s="270"/>
      <c r="AJ129" s="270"/>
      <c r="AP129" s="112"/>
      <c r="AR129" s="270" t="str">
        <f>IF(AND($H$67&gt;=4, $H$67&lt;&gt;"Please Select"),"            Exact Document Name:","")</f>
        <v/>
      </c>
      <c r="AS129" s="270"/>
      <c r="AT129" s="270"/>
      <c r="AU129" s="270"/>
      <c r="AV129" s="270"/>
      <c r="AW129" s="270"/>
      <c r="BC129" s="112"/>
      <c r="BE129" s="270" t="str">
        <f>IF(AND($H$67&gt;=5, $H$67&lt;&gt;"Please Select"),"            Exact Document Name:","")</f>
        <v/>
      </c>
      <c r="BF129" s="270"/>
      <c r="BG129" s="270"/>
      <c r="BH129" s="270"/>
      <c r="BI129" s="270"/>
      <c r="BJ129" s="270"/>
      <c r="BP129" s="112"/>
      <c r="BR129" s="270" t="str">
        <f>IF(AND($H$67&gt;=6, $H$67&lt;&gt;"Please Select"),"            Exact Document Name:","")</f>
        <v/>
      </c>
      <c r="BS129" s="270"/>
      <c r="BT129" s="270"/>
      <c r="BU129" s="270"/>
      <c r="BV129" s="270"/>
      <c r="BW129" s="270"/>
      <c r="CB129" s="137"/>
      <c r="CC129" s="137"/>
    </row>
    <row r="130" spans="1:81" s="28" customFormat="1" ht="29.25" customHeight="1" x14ac:dyDescent="0.3">
      <c r="B130" s="346" t="str">
        <f>IF(AND(E130&lt;&gt;"",E131&lt;&gt;""),"Automatic Links ====&gt;",IF(E130&lt;&gt;"","Automatic Link ====&gt;",""))</f>
        <v/>
      </c>
      <c r="C130" s="346"/>
      <c r="E130" s="270" t="str">
        <f>IF(AND($H$67&gt;=1, $H$67&lt;&gt;"Please Select"),"                                            22 Capstone Affiliate 01","")</f>
        <v/>
      </c>
      <c r="F130" s="270"/>
      <c r="G130" s="270"/>
      <c r="H130" s="270"/>
      <c r="I130" s="270"/>
      <c r="J130" s="270"/>
      <c r="O130" s="346" t="str">
        <f>IF(AND(R130&lt;&gt;"",R131&lt;&gt;""),"Automatic Links ====&gt;",IF(R130&lt;&gt;"","Automatic Link ====&gt;",""))</f>
        <v/>
      </c>
      <c r="P130" s="346"/>
      <c r="R130" s="270" t="str">
        <f>IF(AND($H$67&gt;=2, $H$67&lt;&gt;"Please Select"),"                                            22 Capstone Affiliate 02","")</f>
        <v/>
      </c>
      <c r="S130" s="270"/>
      <c r="T130" s="270"/>
      <c r="U130" s="270"/>
      <c r="V130" s="270"/>
      <c r="W130" s="270"/>
      <c r="AB130" s="346" t="str">
        <f>IF(AND(AE130&lt;&gt;"",AE131&lt;&gt;""),"Automatic Links ====&gt;",IF(AE130&lt;&gt;"","Automatic Link ====&gt;",""))</f>
        <v/>
      </c>
      <c r="AC130" s="346"/>
      <c r="AE130" s="270" t="str">
        <f>IF(AND($H$67&gt;=3, $H$67&lt;&gt;"Please Select"),"                                            22 Capstone Affiliate 03","")</f>
        <v/>
      </c>
      <c r="AF130" s="270"/>
      <c r="AG130" s="270"/>
      <c r="AH130" s="270"/>
      <c r="AI130" s="270"/>
      <c r="AJ130" s="270"/>
      <c r="AO130" s="346" t="str">
        <f>IF(AND(AR130&lt;&gt;"",AR131&lt;&gt;""),"Automatic Links ====&gt;",IF(AR130&lt;&gt;"","Automatic Link ====&gt;",""))</f>
        <v/>
      </c>
      <c r="AP130" s="346"/>
      <c r="AR130" s="270" t="str">
        <f>IF(AND($H$67&gt;=4, $H$67&lt;&gt;"Please Select"),"                                            22 Capstone Affiliate 04","")</f>
        <v/>
      </c>
      <c r="AS130" s="270"/>
      <c r="AT130" s="270"/>
      <c r="AU130" s="270"/>
      <c r="AV130" s="270"/>
      <c r="AW130" s="270"/>
      <c r="BB130" s="346" t="str">
        <f>IF(AND(BE130&lt;&gt;"",BE131&lt;&gt;""),"Automatic Links ====&gt;",IF(BE130&lt;&gt;"","Automatic Link ====&gt;",""))</f>
        <v/>
      </c>
      <c r="BC130" s="346"/>
      <c r="BE130" s="270" t="str">
        <f>IF(AND($H$67&gt;=5, $H$67&lt;&gt;"Please Select"),"                                            22 Capstone Affiliate 05","")</f>
        <v/>
      </c>
      <c r="BF130" s="270"/>
      <c r="BG130" s="270"/>
      <c r="BH130" s="270"/>
      <c r="BI130" s="270"/>
      <c r="BJ130" s="270"/>
      <c r="BO130" s="346" t="str">
        <f>IF(AND(BR130&lt;&gt;"",BR131&lt;&gt;""),"Automatic Links ====&gt;",IF(BR130&lt;&gt;"","Automatic Link ====&gt;",""))</f>
        <v/>
      </c>
      <c r="BP130" s="346"/>
      <c r="BR130" s="270" t="str">
        <f>IF(AND($H$67&gt;=6, $H$67&lt;&gt;"Please Select"),"                                            22 Capstone Affiliate 06","")</f>
        <v/>
      </c>
      <c r="BS130" s="270"/>
      <c r="BT130" s="270"/>
      <c r="BU130" s="270"/>
      <c r="BV130" s="270"/>
      <c r="BW130" s="270"/>
      <c r="CB130" s="137"/>
      <c r="CC130" s="137"/>
    </row>
    <row r="131" spans="1:81" s="28" customFormat="1" ht="29.25" customHeight="1" x14ac:dyDescent="0.3">
      <c r="B131" s="271"/>
      <c r="C131" s="271"/>
      <c r="E131" s="270" t="str">
        <f>IF(AND($H$67&gt;=1, $H$67&lt;&gt;"Please Select",I87&lt;&gt;""),"                                            22 Capstone State Approval 01","")</f>
        <v/>
      </c>
      <c r="F131" s="270"/>
      <c r="G131" s="270"/>
      <c r="H131" s="270"/>
      <c r="I131" s="270"/>
      <c r="J131" s="270"/>
      <c r="O131" s="271"/>
      <c r="P131" s="271"/>
      <c r="R131" s="270" t="str">
        <f>IF(AND($H$67&gt;=2, $H$67&lt;&gt;"Please Select",V87&lt;&gt;""),"                                            22 Capstone State Approval 02","")</f>
        <v/>
      </c>
      <c r="S131" s="270"/>
      <c r="T131" s="270"/>
      <c r="U131" s="270"/>
      <c r="V131" s="270"/>
      <c r="W131" s="270"/>
      <c r="AB131" s="271"/>
      <c r="AC131" s="271"/>
      <c r="AE131" s="270" t="str">
        <f>IF(AND($H$67&gt;=3, $H$67&lt;&gt;"Please Select",AI87&lt;&gt;""),"                                            22 Capstone State Approval 03","")</f>
        <v/>
      </c>
      <c r="AF131" s="270"/>
      <c r="AG131" s="270"/>
      <c r="AH131" s="270"/>
      <c r="AI131" s="270"/>
      <c r="AJ131" s="270"/>
      <c r="AO131" s="271"/>
      <c r="AP131" s="271"/>
      <c r="AR131" s="270" t="str">
        <f>IF(AND($H$67&gt;=4, $H$67&lt;&gt;"Please Select",AV87&lt;&gt;""),"                                            22 Capstone State Approval 04","")</f>
        <v/>
      </c>
      <c r="AS131" s="270"/>
      <c r="AT131" s="270"/>
      <c r="AU131" s="270"/>
      <c r="AV131" s="270"/>
      <c r="AW131" s="270"/>
      <c r="BB131" s="271"/>
      <c r="BC131" s="271"/>
      <c r="BE131" s="270" t="str">
        <f>IF(AND($H$67&gt;=5, $H$67&lt;&gt;"Please Select",BI87&lt;&gt;""),"                                            22 Capstone State Approval 05","")</f>
        <v/>
      </c>
      <c r="BF131" s="270"/>
      <c r="BG131" s="270"/>
      <c r="BH131" s="270"/>
      <c r="BI131" s="270"/>
      <c r="BJ131" s="270"/>
      <c r="BO131" s="271"/>
      <c r="BP131" s="271"/>
      <c r="BR131" s="270" t="str">
        <f>IF(AND($H$67&gt;=6, $H$67&lt;&gt;"Please Select",BV87&lt;&gt;""),"                                            22 Capstone State Approval 06","")</f>
        <v/>
      </c>
      <c r="BS131" s="270"/>
      <c r="BT131" s="270"/>
      <c r="BU131" s="270"/>
      <c r="BV131" s="270"/>
      <c r="BW131" s="270"/>
      <c r="CB131" s="270"/>
      <c r="CC131" s="270"/>
    </row>
    <row r="132" spans="1:81" s="28" customFormat="1" ht="27.75" customHeight="1" x14ac:dyDescent="0.3">
      <c r="C132" s="112"/>
      <c r="E132" s="413" t="str">
        <f>IF(AND($H$67&gt;=1, $H$67&lt;&gt;"Please Select"),"                   Type of File:     Adobe Portable Document (.pdf)","")</f>
        <v/>
      </c>
      <c r="F132" s="413"/>
      <c r="G132" s="413"/>
      <c r="H132" s="413"/>
      <c r="I132" s="413"/>
      <c r="J132" s="413"/>
      <c r="K132" s="415" t="str">
        <f>IF(AND($H$67&gt;1,$H$67&lt;&gt;"Please Select"),"Complete the next 
affiliate form to the right ==&gt;","")</f>
        <v/>
      </c>
      <c r="L132" s="415"/>
      <c r="M132" s="415"/>
      <c r="N132" s="415"/>
      <c r="P132" s="112"/>
      <c r="R132" s="413" t="str">
        <f>IF(AND($H$67&gt;=2, $H$67&lt;&gt;"Please Select"),"                   Type of File:     Adobe Portable Document (.pdf)","")</f>
        <v/>
      </c>
      <c r="S132" s="413"/>
      <c r="T132" s="413"/>
      <c r="U132" s="413"/>
      <c r="V132" s="413"/>
      <c r="W132" s="413"/>
      <c r="X132" s="429" t="str">
        <f>IF(AND($H$67=2,$H$67&lt;3), "Click here when finished 
to go to the next section below",IF(AND($H$67&gt;2,$H$67&lt;&gt;"Please Select"),"Complete the next 
affiliate form to the right ==&gt;",""))</f>
        <v/>
      </c>
      <c r="Y132" s="429"/>
      <c r="Z132" s="429"/>
      <c r="AA132" s="429"/>
      <c r="AC132" s="112"/>
      <c r="AE132" s="413" t="str">
        <f>IF(AND($H$67&gt;=3, $H$67&lt;&gt;"Please Select"),"                   Type of File:     Adobe Portable Document (.pdf)","")</f>
        <v/>
      </c>
      <c r="AF132" s="413"/>
      <c r="AG132" s="413"/>
      <c r="AH132" s="413"/>
      <c r="AI132" s="413"/>
      <c r="AJ132" s="413"/>
      <c r="AK132" s="429" t="str">
        <f>IF(AND($H$67=3,$H$67&lt;4), "Click here when finished 
to go to the next section below",IF(AND($H$67&gt;3,$H$67&lt;&gt;"Please Select"),"Complete the next 
affiliate form to the right ==&gt;",""))</f>
        <v/>
      </c>
      <c r="AL132" s="429"/>
      <c r="AM132" s="429"/>
      <c r="AN132" s="429"/>
      <c r="AP132" s="112"/>
      <c r="AR132" s="413" t="str">
        <f>IF(AND($H$67&gt;=4, $H$67&lt;&gt;"Please Select"),"                   Type of File:     Adobe Portable Document (.pdf)","")</f>
        <v/>
      </c>
      <c r="AS132" s="413"/>
      <c r="AT132" s="413"/>
      <c r="AU132" s="413"/>
      <c r="AV132" s="413"/>
      <c r="AW132" s="413"/>
      <c r="AX132" s="429" t="str">
        <f>IF(AND($H$67=4,$H$67&lt;5), "Click here when finished 
to go to the next section below",IF(AND($H$67&gt;4,$H$67&lt;&gt;"Please Select"),"Complete the next 
affiliate form to the right ==&gt;",""))</f>
        <v/>
      </c>
      <c r="AY132" s="429"/>
      <c r="AZ132" s="429"/>
      <c r="BA132" s="429"/>
      <c r="BC132" s="112"/>
      <c r="BE132" s="413" t="str">
        <f>IF(AND($H$67&gt;=5, $H$67&lt;&gt;"Please Select"),"                   Type of File:     Adobe Portable Document (.pdf)","")</f>
        <v/>
      </c>
      <c r="BF132" s="413"/>
      <c r="BG132" s="413"/>
      <c r="BH132" s="413"/>
      <c r="BI132" s="413"/>
      <c r="BJ132" s="413"/>
      <c r="BK132" s="429" t="str">
        <f>IF(AND($H$67=5,$H$67&lt;6), "Click here when finished 
to go to the next section below",IF(AND($H$67&gt;5,$H$67&lt;&gt;"Please Select"),"Complete the next 
affiliate form to the right ==&gt;",""))</f>
        <v/>
      </c>
      <c r="BL132" s="429"/>
      <c r="BM132" s="429"/>
      <c r="BN132" s="429"/>
      <c r="BP132" s="112"/>
      <c r="BR132" s="413" t="str">
        <f>IF(AND($H$67&gt;=6, $H$67&lt;&gt;"Please Select"),"                   Type of File:     Adobe Portable Document (.pdf)","")</f>
        <v/>
      </c>
      <c r="BS132" s="413"/>
      <c r="BT132" s="413"/>
      <c r="BU132" s="413"/>
      <c r="BV132" s="413"/>
      <c r="BW132" s="413"/>
      <c r="BX132" s="429" t="str">
        <f>IF($H$67=6, "Click here when finished 
to go to the next section below","")</f>
        <v/>
      </c>
      <c r="BY132" s="429"/>
      <c r="BZ132" s="429"/>
      <c r="CA132" s="429"/>
      <c r="CB132" s="429"/>
    </row>
    <row r="133" spans="1:81" s="28" customFormat="1" ht="14" x14ac:dyDescent="0.3"/>
    <row r="134" spans="1:81" s="28" customFormat="1" ht="14" x14ac:dyDescent="0.3">
      <c r="B134" s="56"/>
      <c r="O134" s="56"/>
      <c r="AB134" s="56"/>
      <c r="AO134" s="56"/>
      <c r="BB134" s="56"/>
      <c r="BO134" s="56"/>
    </row>
    <row r="135" spans="1:81" s="28" customFormat="1" ht="14" x14ac:dyDescent="0.3">
      <c r="F135" s="282"/>
      <c r="G135" s="282"/>
      <c r="H135" s="282"/>
      <c r="I135" s="282"/>
      <c r="J135" s="282"/>
    </row>
    <row r="136" spans="1:81" s="28" customFormat="1" ht="14" x14ac:dyDescent="0.3"/>
    <row r="137" spans="1:81" s="28" customFormat="1" ht="14" x14ac:dyDescent="0.3">
      <c r="A137" s="282"/>
      <c r="B137" s="282"/>
      <c r="C137" s="282"/>
      <c r="D137" s="282"/>
      <c r="E137" s="282"/>
      <c r="F137" s="282"/>
      <c r="G137" s="282"/>
      <c r="H137" s="282"/>
      <c r="I137" s="282"/>
      <c r="J137" s="282"/>
      <c r="K137" s="282"/>
      <c r="L137" s="282"/>
      <c r="M137" s="282"/>
      <c r="N137" s="282"/>
      <c r="O137" s="282"/>
      <c r="P137" s="282"/>
      <c r="Q137" s="282"/>
      <c r="R137" s="282"/>
      <c r="S137" s="282"/>
      <c r="T137" s="282"/>
      <c r="U137" s="282"/>
      <c r="V137" s="282"/>
      <c r="W137" s="282"/>
      <c r="X137" s="282"/>
      <c r="Y137" s="282"/>
      <c r="Z137" s="282"/>
      <c r="AA137" s="282"/>
      <c r="AB137" s="282"/>
      <c r="AC137" s="282"/>
      <c r="AD137" s="282"/>
      <c r="AE137" s="282"/>
      <c r="AF137" s="282"/>
      <c r="AG137" s="282"/>
      <c r="AH137" s="282"/>
      <c r="AI137" s="282"/>
      <c r="AJ137" s="282"/>
      <c r="AK137" s="282"/>
      <c r="AL137" s="282"/>
      <c r="AM137" s="282"/>
      <c r="AN137" s="282"/>
      <c r="AO137" s="282"/>
      <c r="AP137" s="282"/>
      <c r="AQ137" s="282"/>
      <c r="AR137" s="282"/>
      <c r="AS137" s="282"/>
      <c r="AT137" s="282"/>
      <c r="AU137" s="282"/>
      <c r="AV137" s="282"/>
      <c r="AW137" s="282"/>
      <c r="AX137" s="282"/>
      <c r="AY137" s="282"/>
      <c r="AZ137" s="282"/>
      <c r="BA137" s="282"/>
      <c r="BB137" s="282"/>
      <c r="BC137" s="282"/>
      <c r="BD137" s="282"/>
      <c r="BE137" s="282"/>
      <c r="BF137" s="282"/>
      <c r="BG137" s="282"/>
      <c r="BH137" s="282"/>
      <c r="BI137" s="282"/>
      <c r="BJ137" s="282"/>
      <c r="BK137" s="282"/>
      <c r="BL137" s="282"/>
      <c r="BM137" s="282"/>
      <c r="BN137" s="282"/>
      <c r="BO137" s="282"/>
      <c r="BP137" s="282"/>
      <c r="BQ137" s="282"/>
      <c r="BR137" s="282"/>
      <c r="BS137" s="282"/>
      <c r="BT137" s="282"/>
      <c r="BU137" s="282"/>
      <c r="BV137" s="282"/>
      <c r="BW137" s="282"/>
      <c r="BX137" s="282"/>
      <c r="BY137" s="282"/>
      <c r="BZ137" s="282"/>
      <c r="CA137" s="282"/>
      <c r="CB137" s="282"/>
    </row>
    <row r="138" spans="1:81" s="28" customFormat="1" ht="14" x14ac:dyDescent="0.3">
      <c r="A138" s="282"/>
      <c r="B138" s="282"/>
      <c r="C138" s="282"/>
      <c r="D138" s="282"/>
      <c r="E138" s="282"/>
      <c r="F138" s="282"/>
      <c r="G138" s="282"/>
      <c r="H138" s="282"/>
      <c r="I138" s="282"/>
      <c r="J138" s="282"/>
      <c r="K138" s="282"/>
      <c r="L138" s="282"/>
      <c r="M138" s="282"/>
      <c r="N138" s="282"/>
      <c r="O138" s="282"/>
      <c r="P138" s="282"/>
      <c r="Q138" s="282"/>
      <c r="R138" s="282"/>
      <c r="S138" s="282"/>
      <c r="T138" s="282"/>
      <c r="U138" s="282"/>
      <c r="V138" s="282"/>
      <c r="W138" s="282"/>
      <c r="X138" s="282"/>
      <c r="Y138" s="282"/>
      <c r="Z138" s="282"/>
      <c r="AA138" s="282"/>
      <c r="AB138" s="282"/>
      <c r="AC138" s="282"/>
      <c r="AD138" s="282"/>
      <c r="AE138" s="282"/>
      <c r="AF138" s="282"/>
      <c r="AG138" s="282"/>
      <c r="AH138" s="282"/>
      <c r="AI138" s="282"/>
      <c r="AJ138" s="282"/>
      <c r="AK138" s="282"/>
      <c r="AL138" s="282"/>
      <c r="AM138" s="282"/>
      <c r="AN138" s="282"/>
      <c r="AO138" s="282"/>
      <c r="AP138" s="282"/>
      <c r="AQ138" s="282"/>
      <c r="AR138" s="282"/>
      <c r="AS138" s="282"/>
      <c r="AT138" s="282"/>
      <c r="AU138" s="282"/>
      <c r="AV138" s="282"/>
      <c r="AW138" s="282"/>
      <c r="AX138" s="282"/>
      <c r="AY138" s="282"/>
      <c r="AZ138" s="282"/>
      <c r="BA138" s="282"/>
      <c r="BB138" s="282"/>
      <c r="BC138" s="282"/>
      <c r="BD138" s="282"/>
      <c r="BE138" s="282"/>
      <c r="BF138" s="282"/>
      <c r="BG138" s="282"/>
      <c r="BH138" s="282"/>
      <c r="BI138" s="282"/>
      <c r="BJ138" s="282"/>
      <c r="BK138" s="282"/>
      <c r="BL138" s="282"/>
      <c r="BM138" s="282"/>
      <c r="BN138" s="282"/>
      <c r="BO138" s="282"/>
      <c r="BP138" s="282"/>
      <c r="BQ138" s="282"/>
      <c r="BR138" s="282"/>
      <c r="BS138" s="282"/>
      <c r="BT138" s="282"/>
      <c r="BU138" s="282"/>
      <c r="BV138" s="282"/>
      <c r="BW138" s="282"/>
      <c r="BX138" s="282"/>
      <c r="BY138" s="282"/>
      <c r="BZ138" s="282"/>
      <c r="CA138" s="282"/>
      <c r="CB138" s="282"/>
    </row>
    <row r="139" spans="1:81" s="28" customFormat="1" ht="14" x14ac:dyDescent="0.3"/>
    <row r="140" spans="1:81" s="28" customFormat="1" ht="14" x14ac:dyDescent="0.3"/>
    <row r="141" spans="1:81" s="28" customFormat="1" ht="18" x14ac:dyDescent="0.3">
      <c r="B141" s="430" t="str">
        <f>IF('Program Info'!G70="Yes","Other Active Field Experience Affiliates","")</f>
        <v/>
      </c>
      <c r="C141" s="430"/>
      <c r="D141" s="430"/>
      <c r="E141" s="430"/>
      <c r="F141" s="430"/>
      <c r="G141" s="430"/>
      <c r="H141" s="430"/>
    </row>
    <row r="142" spans="1:81" s="28" customFormat="1" ht="14" x14ac:dyDescent="0.3"/>
    <row r="143" spans="1:81" s="28" customFormat="1" ht="48.75" customHeight="1" x14ac:dyDescent="0.3">
      <c r="B143" s="393" t="str">
        <f>IF('Program Info'!G70="Yes","Does the program use any field experience affiliates not already
identified with the Capstone Field Internship affiliates above?","")</f>
        <v/>
      </c>
      <c r="C143" s="393"/>
      <c r="D143" s="393"/>
      <c r="E143" s="393"/>
      <c r="F143" s="393"/>
      <c r="H143" s="186" t="s">
        <v>4</v>
      </c>
      <c r="O143" s="140"/>
      <c r="P143" s="140"/>
      <c r="Q143" s="140"/>
      <c r="R143" s="140"/>
      <c r="S143" s="140"/>
      <c r="AB143" s="401"/>
      <c r="AC143" s="401"/>
      <c r="AD143" s="401"/>
      <c r="AE143" s="401"/>
      <c r="AF143" s="401"/>
      <c r="AO143" s="401"/>
      <c r="AP143" s="401"/>
      <c r="AQ143" s="401"/>
      <c r="AR143" s="401"/>
      <c r="AS143" s="401"/>
      <c r="BB143" s="401"/>
      <c r="BC143" s="401"/>
      <c r="BD143" s="401"/>
      <c r="BE143" s="401"/>
      <c r="BF143" s="401"/>
      <c r="BO143" s="401"/>
      <c r="BP143" s="401"/>
      <c r="BQ143" s="401"/>
      <c r="BR143" s="401"/>
      <c r="BS143" s="401"/>
    </row>
    <row r="144" spans="1:81" s="28" customFormat="1" ht="9" customHeight="1" x14ac:dyDescent="0.3">
      <c r="K144" s="148"/>
    </row>
    <row r="145" spans="2:81" s="28" customFormat="1" ht="48.75" customHeight="1" x14ac:dyDescent="0.3">
      <c r="B145" s="393" t="str">
        <f>IF(AND('Program Info'!G70="Yes",H143="Yes"),"Total number of field experience affiliates not identified 
with the AEMT Capstone Field Internship Affiliates above:
(complete the data forms below)",IF(AND('Program Info'!G70="No",H16&lt;&gt;0,H67&lt;&gt;0,H143="No"),"Number on the Program Info tab indicates there are different AEMT affiliates from the Paramedic affiliates; however, none were identified on this tab.  "&amp;"Please either change number on the Program Info tab to 'No' or identify a Clinical, Capstone Field Internship, or Field Experience site on this tab.",IF(AND('Program Info'!G70="Yes",H143&lt;&gt;"Please Select",OR(H16&gt;=1,H67&gt;=1,H143="Yes")),"This tab is complete.  Congratulations!!  
Please double check and send to the CoAEMSP", "")))</f>
        <v/>
      </c>
      <c r="C145" s="393"/>
      <c r="D145" s="393"/>
      <c r="E145" s="393"/>
      <c r="F145" s="393"/>
      <c r="H145" s="186"/>
      <c r="O145" s="140"/>
      <c r="P145" s="140"/>
      <c r="Q145" s="140"/>
      <c r="R145" s="140"/>
      <c r="S145" s="140"/>
      <c r="AB145" s="401"/>
      <c r="AC145" s="401"/>
      <c r="AD145" s="401"/>
      <c r="AE145" s="401"/>
      <c r="AF145" s="401"/>
      <c r="AO145" s="401"/>
      <c r="AP145" s="401"/>
      <c r="AQ145" s="401"/>
      <c r="AR145" s="401"/>
      <c r="AS145" s="401"/>
      <c r="BB145" s="401"/>
      <c r="BC145" s="401"/>
      <c r="BD145" s="401"/>
      <c r="BE145" s="401"/>
      <c r="BF145" s="401"/>
      <c r="BO145" s="401"/>
      <c r="BP145" s="401"/>
      <c r="BQ145" s="401"/>
      <c r="BR145" s="401"/>
      <c r="BS145" s="401"/>
    </row>
    <row r="146" spans="2:81" s="28" customFormat="1" ht="8.25" customHeight="1" x14ac:dyDescent="0.3">
      <c r="K146" s="148"/>
    </row>
    <row r="147" spans="2:81" s="28" customFormat="1" ht="31.5" customHeight="1" x14ac:dyDescent="0.3">
      <c r="B147" s="391" t="str">
        <f>IF(AND('Program Info'!G70="Yes",H143="Yes"),"State the program is located in (See Title Page Number 3):","")</f>
        <v/>
      </c>
      <c r="C147" s="391"/>
      <c r="D147" s="391"/>
      <c r="E147" s="391"/>
      <c r="F147" s="391"/>
      <c r="G147" s="120"/>
      <c r="H147" s="183" t="str">
        <f>IF(B147&lt;&gt;"",'Program Info'!F13,"")</f>
        <v/>
      </c>
      <c r="O147" s="392"/>
      <c r="P147" s="392"/>
      <c r="Q147" s="392"/>
      <c r="R147" s="392"/>
      <c r="S147" s="392"/>
      <c r="T147" s="120"/>
      <c r="U147" s="120"/>
      <c r="AB147" s="392"/>
      <c r="AC147" s="392"/>
      <c r="AD147" s="392"/>
      <c r="AE147" s="392"/>
      <c r="AF147" s="392"/>
      <c r="AG147" s="120"/>
      <c r="AH147" s="120"/>
      <c r="AO147" s="392"/>
      <c r="AP147" s="392"/>
      <c r="AQ147" s="392"/>
      <c r="AR147" s="392"/>
      <c r="AS147" s="392"/>
      <c r="AT147" s="120"/>
      <c r="AU147" s="120"/>
      <c r="BB147" s="392"/>
      <c r="BC147" s="392"/>
      <c r="BD147" s="392"/>
      <c r="BE147" s="392"/>
      <c r="BF147" s="392"/>
      <c r="BG147" s="120"/>
      <c r="BH147" s="120"/>
      <c r="BO147" s="392"/>
      <c r="BP147" s="392"/>
      <c r="BQ147" s="392"/>
      <c r="BR147" s="392"/>
      <c r="BS147" s="392"/>
      <c r="BT147" s="120"/>
      <c r="BU147" s="120"/>
    </row>
    <row r="148" spans="2:81" s="28" customFormat="1" ht="14" x14ac:dyDescent="0.3"/>
    <row r="149" spans="2:81" s="28" customFormat="1" ht="43.5" customHeight="1" x14ac:dyDescent="0.3">
      <c r="B149" s="393" t="str">
        <f>IF(AND('Program Info'!G70="Yes",H143="Yes"),"Number of out of state Capstone Field Internship Affiliates identfied:
(based on the data forms below)","")</f>
        <v/>
      </c>
      <c r="C149" s="391"/>
      <c r="D149" s="391"/>
      <c r="E149" s="391"/>
      <c r="F149" s="391"/>
      <c r="H149" s="184" t="str">
        <f>IF(B149&lt;&gt;"",COUNTIF(I155:AI155,"Out*"),"")</f>
        <v/>
      </c>
      <c r="J149" s="121"/>
      <c r="O149" s="380"/>
      <c r="P149" s="394"/>
      <c r="Q149" s="394"/>
      <c r="R149" s="394"/>
      <c r="S149" s="394"/>
      <c r="W149" s="121"/>
      <c r="AB149" s="380"/>
      <c r="AC149" s="394"/>
      <c r="AD149" s="394"/>
      <c r="AE149" s="394"/>
      <c r="AF149" s="394"/>
      <c r="AJ149" s="121"/>
      <c r="AO149" s="380"/>
      <c r="AP149" s="394"/>
      <c r="AQ149" s="394"/>
      <c r="AR149" s="394"/>
      <c r="AS149" s="394"/>
      <c r="AW149" s="121"/>
      <c r="BB149" s="380"/>
      <c r="BC149" s="394"/>
      <c r="BD149" s="394"/>
      <c r="BE149" s="394"/>
      <c r="BF149" s="394"/>
      <c r="BJ149" s="121"/>
      <c r="BO149" s="380"/>
      <c r="BP149" s="394"/>
      <c r="BQ149" s="394"/>
      <c r="BR149" s="394"/>
      <c r="BS149" s="394"/>
      <c r="BW149" s="121"/>
      <c r="CC149" s="121"/>
    </row>
    <row r="150" spans="2:81" s="28" customFormat="1" ht="14" x14ac:dyDescent="0.3"/>
    <row r="151" spans="2:81" s="28" customFormat="1" ht="43.5" customHeight="1" x14ac:dyDescent="0.3">
      <c r="B151" s="393" t="str">
        <f>IF(AND('Program Info'!G70="Yes",H143="Yes"),"Number of On-Site Liaisons 'Pending' Orientation:
(based on the data forms below","")</f>
        <v/>
      </c>
      <c r="C151" s="391"/>
      <c r="D151" s="391"/>
      <c r="E151" s="391"/>
      <c r="F151" s="391"/>
      <c r="H151" s="164">
        <f>COUNTIF(F162:AN162,"Pend*")</f>
        <v>0</v>
      </c>
      <c r="I151" s="106"/>
      <c r="J151" s="313" t="str">
        <f>IF(H151&lt;&gt;0, "States Identified:", "")</f>
        <v/>
      </c>
      <c r="K151" s="313"/>
      <c r="L151" s="149" t="str">
        <f>IF(OR(AND(I162&lt;&gt;"",V162&lt;&gt;"",AI162&lt;&gt;"")), F165 &amp; ", " &amp; S165 &amp; ", " &amp; AF165,IF(AND(I162&lt;&gt;"",V162="",AI162=""), F165,IF(AND(I162&lt;&gt;"",V162&lt;&gt;"",AI162=""), F165 &amp; ", " &amp; S165, "")))</f>
        <v/>
      </c>
      <c r="O151" s="140"/>
      <c r="P151" s="121"/>
      <c r="Q151" s="121"/>
      <c r="R151" s="121"/>
      <c r="S151" s="121"/>
      <c r="W151" s="121"/>
      <c r="AB151" s="380"/>
      <c r="AC151" s="394"/>
      <c r="AD151" s="394"/>
      <c r="AE151" s="394"/>
      <c r="AF151" s="394"/>
      <c r="AJ151" s="121"/>
      <c r="AO151" s="380"/>
      <c r="AP151" s="394"/>
      <c r="AQ151" s="394"/>
      <c r="AR151" s="394"/>
      <c r="AS151" s="394"/>
      <c r="AW151" s="121"/>
      <c r="BB151" s="380"/>
      <c r="BC151" s="394"/>
      <c r="BD151" s="394"/>
      <c r="BE151" s="394"/>
      <c r="BF151" s="394"/>
      <c r="BJ151" s="121"/>
      <c r="BO151" s="380"/>
      <c r="BP151" s="394"/>
      <c r="BQ151" s="394"/>
      <c r="BR151" s="394"/>
      <c r="BS151" s="394"/>
      <c r="BW151" s="121"/>
      <c r="CC151" s="121"/>
    </row>
    <row r="152" spans="2:81" s="28" customFormat="1" ht="48.75" customHeight="1" x14ac:dyDescent="0.3">
      <c r="B152" s="147"/>
      <c r="C152" s="147"/>
      <c r="D152" s="147"/>
      <c r="E152" s="147"/>
      <c r="F152" s="147"/>
      <c r="O152" s="140"/>
      <c r="P152" s="140"/>
      <c r="Q152" s="140"/>
      <c r="R152" s="140"/>
      <c r="S152" s="140"/>
      <c r="AB152" s="122"/>
      <c r="AC152" s="122"/>
      <c r="AD152" s="122"/>
      <c r="AE152" s="122"/>
      <c r="AF152" s="122"/>
      <c r="AO152" s="122"/>
      <c r="AP152" s="122"/>
      <c r="AQ152" s="122"/>
      <c r="AR152" s="122"/>
      <c r="AS152" s="122"/>
      <c r="BB152" s="122"/>
      <c r="BC152" s="122"/>
      <c r="BD152" s="122"/>
      <c r="BE152" s="122"/>
      <c r="BF152" s="122"/>
      <c r="BO152" s="122"/>
      <c r="BP152" s="122"/>
      <c r="BQ152" s="122"/>
      <c r="BR152" s="122"/>
      <c r="BS152" s="122"/>
    </row>
    <row r="153" spans="2:81" s="28" customFormat="1" ht="18" x14ac:dyDescent="0.3">
      <c r="B153" s="403" t="str">
        <f>IF(AND($H$145&gt;=1, $H$145&lt;&gt;"Please Select"),"Active Field Experience Data Form Number FE1","")</f>
        <v/>
      </c>
      <c r="C153" s="403"/>
      <c r="D153" s="403"/>
      <c r="E153" s="403"/>
      <c r="F153" s="403"/>
      <c r="G153" s="403"/>
      <c r="H153" s="403"/>
      <c r="O153" s="403" t="str">
        <f>IF(AND($H$145&gt;=2, $H$145&lt;&gt;"Please Select"),"Active Field Experience Data Form Number FE2","")</f>
        <v/>
      </c>
      <c r="P153" s="403"/>
      <c r="Q153" s="403"/>
      <c r="R153" s="403"/>
      <c r="S153" s="403"/>
      <c r="T153" s="403"/>
      <c r="U153" s="403"/>
      <c r="AB153" s="403" t="str">
        <f>IF(AND($H$145&gt;=3, $H$145&lt;&gt;"Please Select"),"Active Field Experience Data Form Number FE3","")</f>
        <v/>
      </c>
      <c r="AC153" s="403"/>
      <c r="AD153" s="403"/>
      <c r="AE153" s="403"/>
      <c r="AF153" s="403"/>
      <c r="AG153" s="403"/>
      <c r="AH153" s="403"/>
      <c r="AT153" s="113" t="s">
        <v>149</v>
      </c>
      <c r="AU153" s="150" t="str">
        <f>IF(ISNUMBER(MATCH(3,G158:AN158,0)), "Yes", "")</f>
        <v/>
      </c>
      <c r="AV153" s="113" t="s">
        <v>150</v>
      </c>
      <c r="AW153" s="150" t="str">
        <f>IF(ISNUMBER(MATCH(15,G158:AN158,0)), "Yes", "")</f>
        <v/>
      </c>
      <c r="AX153" s="113" t="s">
        <v>151</v>
      </c>
      <c r="AY153" s="150" t="str">
        <f>IF(ISNUMBER(MATCH(27,G158:AN158,0)), "Yes", "")</f>
        <v/>
      </c>
      <c r="AZ153" s="113" t="s">
        <v>152</v>
      </c>
      <c r="BA153" s="150" t="str">
        <f>IF(ISNUMBER(MATCH(39,G158:AN158,0)), "Yes", "")</f>
        <v/>
      </c>
      <c r="BB153" s="113" t="s">
        <v>153</v>
      </c>
      <c r="BC153" s="150" t="str">
        <f>IF(ISNUMBER(MATCH(50,G158:AN158,0)), "Yes", "")</f>
        <v/>
      </c>
    </row>
    <row r="154" spans="2:81" s="28" customFormat="1" ht="14" x14ac:dyDescent="0.3">
      <c r="AT154" s="151" t="s">
        <v>154</v>
      </c>
      <c r="AU154" s="150" t="str">
        <f>IF(ISNUMBER(MATCH(4,G158:AN158,0)), "Yes", "")</f>
        <v/>
      </c>
      <c r="AV154" s="113" t="s">
        <v>155</v>
      </c>
      <c r="AW154" s="150" t="str">
        <f>IF(ISNUMBER(MATCH(16,G158:AN158,0)), "Yes", "")</f>
        <v/>
      </c>
      <c r="AX154" s="113" t="s">
        <v>156</v>
      </c>
      <c r="AY154" s="150" t="str">
        <f>IF(ISNUMBER(MATCH(28,G158:AN158,0)), "Yes", "")</f>
        <v/>
      </c>
      <c r="AZ154" s="113" t="s">
        <v>157</v>
      </c>
      <c r="BA154" s="150" t="str">
        <f>IF(ISNUMBER(MATCH(40,G158:AN158,0)), "Yes", "")</f>
        <v/>
      </c>
      <c r="BB154" s="113"/>
      <c r="BC154" s="150" t="str">
        <f>IF(ISNUMBER(MATCH(51,G158:AN158,0)), "Yes", "")</f>
        <v/>
      </c>
    </row>
    <row r="155" spans="2:81" s="28" customFormat="1" ht="15" customHeight="1" x14ac:dyDescent="0.3">
      <c r="B155" s="58" t="str">
        <f>IF(AND($H$145&gt;=1, $H$145&lt;&gt;"Please Select"),"Affiliate Name:","")</f>
        <v/>
      </c>
      <c r="C155" s="398"/>
      <c r="D155" s="398"/>
      <c r="E155" s="398"/>
      <c r="F155" s="398"/>
      <c r="G155" s="120"/>
      <c r="I155" s="407" t="str">
        <f>IF(H69=F158,"",IF(AND(H136&lt;&gt;F158,F158&lt;&gt;""),"Out of State Affiliate",""))</f>
        <v/>
      </c>
      <c r="J155" s="407"/>
      <c r="K155" s="407"/>
      <c r="L155" s="407"/>
      <c r="O155" s="58" t="str">
        <f>IF(AND($H$145&gt;=2, $H$145&lt;&gt;"Please Select"),"Affiliate Name:","")</f>
        <v/>
      </c>
      <c r="P155" s="398"/>
      <c r="Q155" s="398"/>
      <c r="R155" s="398"/>
      <c r="S155" s="398"/>
      <c r="T155" s="120"/>
      <c r="V155" s="407" t="str">
        <f>IF(H69=S158,"",IF(AND(H69&lt;&gt;S158,S158&lt;&gt;""),"Out of State Affiliate",""))</f>
        <v/>
      </c>
      <c r="W155" s="407"/>
      <c r="X155" s="407"/>
      <c r="Y155" s="407"/>
      <c r="AB155" s="58" t="str">
        <f>IF(AND($H$145&gt;=3, $H$145&lt;&gt;"Please Select"),"Affiliate Name:","")</f>
        <v/>
      </c>
      <c r="AC155" s="398"/>
      <c r="AD155" s="398"/>
      <c r="AE155" s="398"/>
      <c r="AF155" s="398"/>
      <c r="AG155" s="120"/>
      <c r="AI155" s="407" t="str">
        <f>IF($H$69=AF158,"",IF(AND($H$69&lt;&gt;AF158,AF158&lt;&gt;""),"Out of State Affiliate",""))</f>
        <v/>
      </c>
      <c r="AJ155" s="407"/>
      <c r="AK155" s="407"/>
      <c r="AL155" s="407"/>
      <c r="AO155" s="407"/>
      <c r="AP155" s="407"/>
      <c r="AQ155" s="407"/>
      <c r="AR155" s="407"/>
      <c r="AT155" s="113" t="s">
        <v>158</v>
      </c>
      <c r="AU155" s="150" t="str">
        <f>IF(ISNUMBER(MATCH(5,G158:AN158,0)), "Yes", "")</f>
        <v/>
      </c>
      <c r="AV155" s="113" t="s">
        <v>159</v>
      </c>
      <c r="AW155" s="150" t="str">
        <f>IF(ISNUMBER(MATCH(17,G158:AN158,0)), "Yes", "")</f>
        <v/>
      </c>
      <c r="AX155" s="113" t="s">
        <v>160</v>
      </c>
      <c r="AY155" s="150" t="str">
        <f>IF(ISNUMBER(MATCH(29,G158:AN158,0)), "Yes", "")</f>
        <v/>
      </c>
      <c r="AZ155" s="113" t="s">
        <v>161</v>
      </c>
      <c r="BA155" s="150" t="str">
        <f>IF(ISNUMBER(MATCH(41,G158:AN158,0)), "Yes", "")</f>
        <v/>
      </c>
      <c r="BB155" s="113"/>
      <c r="BC155" s="113"/>
    </row>
    <row r="156" spans="2:81" s="28" customFormat="1" ht="14" x14ac:dyDescent="0.3">
      <c r="B156" s="58" t="str">
        <f>IF(AND($H$145&gt;=1, $H$145&lt;&gt;"Please Select"),"Address:","")</f>
        <v/>
      </c>
      <c r="C156" s="398"/>
      <c r="D156" s="398"/>
      <c r="E156" s="398"/>
      <c r="F156" s="398"/>
      <c r="I156" s="407"/>
      <c r="J156" s="407"/>
      <c r="K156" s="407"/>
      <c r="L156" s="407"/>
      <c r="O156" s="58" t="str">
        <f>IF(AND($H$145&gt;=2, $H$145&lt;&gt;"Please Select"),"Address:","")</f>
        <v/>
      </c>
      <c r="P156" s="398"/>
      <c r="Q156" s="398"/>
      <c r="R156" s="398"/>
      <c r="S156" s="398"/>
      <c r="V156" s="407"/>
      <c r="W156" s="407"/>
      <c r="X156" s="407"/>
      <c r="Y156" s="407"/>
      <c r="AB156" s="58" t="str">
        <f>IF(AND($H$145&gt;=3, $H$145&lt;&gt;"Please Select"),"Address:","")</f>
        <v/>
      </c>
      <c r="AC156" s="398"/>
      <c r="AD156" s="398"/>
      <c r="AE156" s="398"/>
      <c r="AF156" s="398"/>
      <c r="AI156" s="407"/>
      <c r="AJ156" s="407"/>
      <c r="AK156" s="407"/>
      <c r="AL156" s="407"/>
      <c r="AO156" s="407"/>
      <c r="AP156" s="407"/>
      <c r="AQ156" s="407"/>
      <c r="AR156" s="407"/>
      <c r="AT156" s="113" t="s">
        <v>162</v>
      </c>
      <c r="AU156" s="150" t="str">
        <f>IF(ISNUMBER(MATCH(6,G158:AN158,0)), "Yes", "")</f>
        <v/>
      </c>
      <c r="AV156" s="113" t="s">
        <v>163</v>
      </c>
      <c r="AW156" s="150" t="str">
        <f>IF(ISNUMBER(MATCH(18,G158:AN158,0)), "Yes", "")</f>
        <v/>
      </c>
      <c r="AX156" s="113" t="s">
        <v>164</v>
      </c>
      <c r="AY156" s="150" t="str">
        <f>IF(ISNUMBER(MATCH(30,G158:AN158,0)), "Yes", "")</f>
        <v/>
      </c>
      <c r="AZ156" s="113" t="s">
        <v>165</v>
      </c>
      <c r="BA156" s="150" t="str">
        <f>IF(ISNUMBER(MATCH(42,G158:AN158,0)), "Yes", "")</f>
        <v/>
      </c>
      <c r="BB156" s="113"/>
      <c r="BC156" s="113"/>
    </row>
    <row r="157" spans="2:81" s="28" customFormat="1" ht="15" customHeight="1" x14ac:dyDescent="0.3">
      <c r="B157" s="58" t="str">
        <f>IF(AND($H$145&gt;=1, $H$145&lt;&gt;"Please Select"),"Address:","")</f>
        <v/>
      </c>
      <c r="C157" s="398"/>
      <c r="D157" s="398"/>
      <c r="E157" s="398"/>
      <c r="F157" s="398"/>
      <c r="I157" s="139"/>
      <c r="J157" s="139"/>
      <c r="K157" s="139"/>
      <c r="L157" s="139"/>
      <c r="O157" s="58" t="str">
        <f>IF(AND($H$145&gt;=2, $H$145&lt;&gt;"Please Select"),"Address:","")</f>
        <v/>
      </c>
      <c r="P157" s="398"/>
      <c r="Q157" s="398"/>
      <c r="R157" s="398"/>
      <c r="S157" s="398"/>
      <c r="V157" s="139"/>
      <c r="W157" s="139"/>
      <c r="X157" s="139"/>
      <c r="Y157" s="139"/>
      <c r="AB157" s="58" t="str">
        <f>IF(AND($H$145&gt;=3, $H$145&lt;&gt;"Please Select"),"Address:","")</f>
        <v/>
      </c>
      <c r="AC157" s="398"/>
      <c r="AD157" s="398"/>
      <c r="AE157" s="398"/>
      <c r="AF157" s="398"/>
      <c r="AI157" s="139"/>
      <c r="AJ157" s="139"/>
      <c r="AK157" s="139"/>
      <c r="AL157" s="139"/>
      <c r="AO157" s="139"/>
      <c r="AP157" s="139"/>
      <c r="AQ157" s="139"/>
      <c r="AR157" s="139"/>
      <c r="AT157" s="113" t="s">
        <v>166</v>
      </c>
      <c r="AU157" s="150" t="str">
        <f>IF(ISNUMBER(MATCH(7,G158:AN158,0)), "Yes", "")</f>
        <v/>
      </c>
      <c r="AV157" s="113" t="s">
        <v>167</v>
      </c>
      <c r="AW157" s="150" t="str">
        <f>IF(ISNUMBER(MATCH(19,G158:AN158,0)), "Yes", "")</f>
        <v/>
      </c>
      <c r="AX157" s="113" t="s">
        <v>168</v>
      </c>
      <c r="AY157" s="150" t="str">
        <f>IF(ISNUMBER(MATCH(31,G158:AN158,0)), "Yes", "")</f>
        <v/>
      </c>
      <c r="AZ157" s="113" t="s">
        <v>169</v>
      </c>
      <c r="BA157" s="150" t="str">
        <f>IF(ISNUMBER(MATCH(43,G158:AN158,0)), "Yes", "")</f>
        <v/>
      </c>
      <c r="BB157" s="113"/>
      <c r="BC157" s="113"/>
    </row>
    <row r="158" spans="2:81" s="28" customFormat="1" ht="14" x14ac:dyDescent="0.3">
      <c r="B158" s="58" t="str">
        <f>IF(AND($H$145&gt;=1, $H$145&lt;&gt;"Please Select"),"City:","")</f>
        <v/>
      </c>
      <c r="C158" s="398"/>
      <c r="D158" s="398"/>
      <c r="E158" s="120" t="str">
        <f>IF(AND($H$145&gt;=1, $H$145&lt;&gt;"Please Select"),"State:","")</f>
        <v/>
      </c>
      <c r="F158" s="152"/>
      <c r="G158" s="120"/>
      <c r="O158" s="58" t="str">
        <f>IF(AND($H$145&gt;=2, $H$145&lt;&gt;"Please Select"),"City:","")</f>
        <v/>
      </c>
      <c r="P158" s="398"/>
      <c r="Q158" s="398"/>
      <c r="R158" s="120" t="str">
        <f>IF(AND($H$145&gt;=2, $H$145&lt;&gt;"Please Select"),"State:","")</f>
        <v/>
      </c>
      <c r="S158" s="152"/>
      <c r="T158" s="120"/>
      <c r="AB158" s="58" t="str">
        <f>IF(AND($H$145&gt;=3, $H$145&lt;&gt;"Please Select"),"City:","")</f>
        <v/>
      </c>
      <c r="AC158" s="398"/>
      <c r="AD158" s="398"/>
      <c r="AE158" s="120" t="str">
        <f>IF(AND($H$145&gt;=3, $H$145&lt;&gt;"Please Select"),"State:","")</f>
        <v/>
      </c>
      <c r="AF158" s="152"/>
      <c r="AG158" s="120"/>
      <c r="AT158" s="113" t="s">
        <v>170</v>
      </c>
      <c r="AU158" s="150" t="str">
        <f>IF(ISNUMBER(MATCH(8,G158:AN158,0)), "Yes", "")</f>
        <v/>
      </c>
      <c r="AV158" s="113" t="s">
        <v>171</v>
      </c>
      <c r="AW158" s="150" t="str">
        <f>IF(ISNUMBER(MATCH(20,G158:AN158,0)), "Yes", "")</f>
        <v/>
      </c>
      <c r="AX158" s="113" t="s">
        <v>172</v>
      </c>
      <c r="AY158" s="150" t="str">
        <f>IF(ISNUMBER(MATCH(32,G158:AN158,0)), "Yes", "")</f>
        <v/>
      </c>
      <c r="AZ158" s="113" t="s">
        <v>173</v>
      </c>
      <c r="BA158" s="150" t="str">
        <f>IF(ISNUMBER(MATCH(44,G158:AN158,0)), "Yes", "")</f>
        <v/>
      </c>
      <c r="BB158" s="113"/>
      <c r="BC158" s="113"/>
    </row>
    <row r="159" spans="2:81" s="28" customFormat="1" ht="20.25" customHeight="1" x14ac:dyDescent="0.3">
      <c r="B159" s="58" t="str">
        <f>IF(AND($H$145&gt;=1, $H$145&lt;&gt;"Please Select"),"Distance from program (in miles):","")</f>
        <v/>
      </c>
      <c r="D159" s="153"/>
      <c r="O159" s="58" t="str">
        <f>IF(AND($H$145&gt;=2, $H$145&lt;&gt;"Please Select"),"Distance from program (in miles):","")</f>
        <v/>
      </c>
      <c r="Q159" s="153"/>
      <c r="AB159" s="58" t="str">
        <f>IF(AND($H$145&gt;=3, $H$145&lt;&gt;"Please Select"),"Distance from program (in miles):","")</f>
        <v/>
      </c>
      <c r="AD159" s="153"/>
      <c r="AT159" s="113" t="s">
        <v>174</v>
      </c>
      <c r="AU159" s="150" t="str">
        <f>IF(ISNUMBER(MATCH(9,G158:AN158,0)), "Yes", "")</f>
        <v/>
      </c>
      <c r="AV159" s="113" t="s">
        <v>175</v>
      </c>
      <c r="AW159" s="150" t="str">
        <f>IF(ISNUMBER(MATCH(21,G158:AN158,0)), "Yes", "")</f>
        <v/>
      </c>
      <c r="AX159" s="113" t="s">
        <v>176</v>
      </c>
      <c r="AY159" s="150" t="str">
        <f>IF(ISNUMBER(MATCH(33,G158:AN158,0)), "Yes", "")</f>
        <v/>
      </c>
      <c r="AZ159" s="113" t="s">
        <v>177</v>
      </c>
      <c r="BA159" s="150" t="str">
        <f>IF(ISNUMBER(MATCH(45,G158:AN158,0)), "Yes", "")</f>
        <v/>
      </c>
      <c r="BB159" s="113"/>
      <c r="BC159" s="113"/>
    </row>
    <row r="160" spans="2:81" s="28" customFormat="1" ht="14" x14ac:dyDescent="0.3">
      <c r="B160" s="58"/>
      <c r="O160" s="58"/>
      <c r="AB160" s="58"/>
      <c r="AT160" s="113" t="s">
        <v>178</v>
      </c>
      <c r="AU160" s="150" t="str">
        <f>IF(ISNUMBER(MATCH(10,G158:AN158,0)), "Yes", "")</f>
        <v/>
      </c>
      <c r="AV160" s="113" t="s">
        <v>179</v>
      </c>
      <c r="AW160" s="150" t="str">
        <f>IF(ISNUMBER(MATCH(22,G158:AN158,0)), "Yes", "")</f>
        <v/>
      </c>
      <c r="AX160" s="113" t="s">
        <v>180</v>
      </c>
      <c r="AY160" s="150" t="str">
        <f>IF(ISNUMBER(MATCH(34,G158:AN158,0)), "Yes", "")</f>
        <v/>
      </c>
      <c r="AZ160" s="113" t="s">
        <v>181</v>
      </c>
      <c r="BA160" s="150" t="str">
        <f>IF(ISNUMBER(MATCH(46,G158:AN158,0)), "Yes", "")</f>
        <v/>
      </c>
      <c r="BB160" s="113"/>
      <c r="BC160" s="113"/>
    </row>
    <row r="161" spans="2:55" s="121" customFormat="1" ht="29.25" customHeight="1" x14ac:dyDescent="0.3">
      <c r="B161" s="154" t="str">
        <f>IF(AND($H$145&gt;=1, $H$145&lt;&gt;"Please Select"),"Name of on-site liaison:","")</f>
        <v/>
      </c>
      <c r="D161" s="408"/>
      <c r="E161" s="408"/>
      <c r="F161" s="408"/>
      <c r="O161" s="154" t="str">
        <f>IF(AND($H$145&gt;=2, $H$145&lt;&gt;"Please Select"),"Name of on-site liaison:","")</f>
        <v/>
      </c>
      <c r="Q161" s="408"/>
      <c r="R161" s="408"/>
      <c r="S161" s="408"/>
      <c r="AB161" s="154" t="str">
        <f>IF(AND($H$145&gt;=3, $H$145&lt;&gt;"Please Select"),"Name of on-site liaison:","")</f>
        <v/>
      </c>
      <c r="AD161" s="408"/>
      <c r="AE161" s="408"/>
      <c r="AF161" s="408"/>
      <c r="AT161" s="149" t="s">
        <v>182</v>
      </c>
      <c r="AU161" s="150" t="str">
        <f>IF(ISNUMBER(MATCH(11,G158:AN158,0)), "Yes", "")</f>
        <v/>
      </c>
      <c r="AV161" s="149" t="s">
        <v>183</v>
      </c>
      <c r="AW161" s="119" t="str">
        <f>IF(ISNUMBER(MATCH(23,G158:AN158,0)), "Yes", "")</f>
        <v/>
      </c>
      <c r="AX161" s="113" t="s">
        <v>184</v>
      </c>
      <c r="AY161" s="119" t="str">
        <f>IF(ISNUMBER(MATCH(35,G158:AN158,0)), "Yes", "")</f>
        <v/>
      </c>
      <c r="AZ161" s="149" t="s">
        <v>185</v>
      </c>
      <c r="BA161" s="119" t="str">
        <f>IF(ISNUMBER(MATCH(47,G158:AN158,0)), "Yes", "")</f>
        <v/>
      </c>
      <c r="BB161" s="149"/>
      <c r="BC161" s="149"/>
    </row>
    <row r="162" spans="2:55" s="28" customFormat="1" ht="26.25" customHeight="1" x14ac:dyDescent="0.3">
      <c r="B162" s="154" t="str">
        <f>IF(AND($H$145&gt;=1, $H$145&lt;&gt;"Please Select"),"Has the on-site liaison completed orientation?","")</f>
        <v/>
      </c>
      <c r="F162" s="153"/>
      <c r="O162" s="154" t="str">
        <f>IF(AND($H$145&gt;=2, $H$145&lt;&gt;"Please Select"),"Has the on-site liaison completed orientation?","")</f>
        <v/>
      </c>
      <c r="S162" s="153"/>
      <c r="AB162" s="154" t="str">
        <f>IF(AND($H$145&gt;=3, $H$145&lt;&gt;"Please Select"),"Has the on-site liaison completed orientation?","")</f>
        <v/>
      </c>
      <c r="AF162" s="153"/>
      <c r="AT162" s="113" t="s">
        <v>186</v>
      </c>
      <c r="AU162" s="150" t="str">
        <f>IF(ISNUMBER(MATCH(12,G158:AN158,0)), "Yes", "")</f>
        <v/>
      </c>
      <c r="AV162" s="113" t="s">
        <v>187</v>
      </c>
      <c r="AW162" s="150" t="str">
        <f>IF(ISNUMBER(MATCH(24,G158:AN158,0)), "Yes", "")</f>
        <v/>
      </c>
      <c r="AX162" s="113" t="s">
        <v>188</v>
      </c>
      <c r="AY162" s="150" t="str">
        <f>IF(ISNUMBER(MATCH(36,G158:AN158,0)), "Yes", "")</f>
        <v/>
      </c>
      <c r="AZ162" s="113" t="s">
        <v>189</v>
      </c>
      <c r="BA162" s="150"/>
      <c r="BB162" s="113"/>
      <c r="BC162" s="113"/>
    </row>
    <row r="163" spans="2:55" s="28" customFormat="1" ht="26.25" customHeight="1" x14ac:dyDescent="0.3">
      <c r="B163" s="154" t="str">
        <f>IF(F$162="Yes","Date on-site liaison completed orientation:",IF(F$162="Pending","Date on-site liaison orientation will be completed:",""))</f>
        <v/>
      </c>
      <c r="C163" s="154"/>
      <c r="D163" s="154"/>
      <c r="E163" s="154"/>
      <c r="F163" s="155"/>
      <c r="O163" s="154" t="str">
        <f>IF(S162="Yes","Date on-site liaison completed orientation:",IF(S162="Pending","Date on-site liaison orientation will be completed:",""))</f>
        <v/>
      </c>
      <c r="P163" s="154"/>
      <c r="Q163" s="154"/>
      <c r="R163" s="154"/>
      <c r="S163" s="155"/>
      <c r="AB163" s="154" t="str">
        <f>IF(AF162="Yes","Date on-site liaison completed orientation:",IF(AF162="Pending","Date on-site liaison orientation will be completed:",""))</f>
        <v/>
      </c>
      <c r="AC163" s="154"/>
      <c r="AD163" s="154"/>
      <c r="AE163" s="154"/>
      <c r="AF163" s="155"/>
      <c r="AT163" s="113"/>
      <c r="AU163" s="113"/>
      <c r="AV163" s="113"/>
      <c r="AW163" s="113"/>
      <c r="AX163" s="113"/>
      <c r="AY163" s="113"/>
      <c r="AZ163" s="113"/>
      <c r="BA163" s="113"/>
      <c r="BB163" s="113"/>
      <c r="BC163" s="113"/>
    </row>
    <row r="164" spans="2:55" s="28" customFormat="1" ht="14" x14ac:dyDescent="0.3">
      <c r="B164" s="58"/>
      <c r="O164" s="58"/>
      <c r="AB164" s="58"/>
    </row>
    <row r="165" spans="2:55" s="121" customFormat="1" ht="26.25" customHeight="1" x14ac:dyDescent="0.35">
      <c r="B165" s="162" t="str">
        <f>IF(AND($H$145&gt;=1, $H$145&lt;&gt;"Please Select"),"Total Number of Runs Per Year:","")</f>
        <v/>
      </c>
      <c r="D165" s="420"/>
      <c r="E165" s="420"/>
      <c r="O165" s="162" t="str">
        <f>IF(AND($H$145&gt;=2, $H$145&lt;&gt;"Please Select"),"Total Number of Runs Per Year:","")</f>
        <v/>
      </c>
      <c r="Q165" s="420"/>
      <c r="R165" s="420"/>
      <c r="AB165" s="162" t="str">
        <f>IF(AND($H$145&gt;=3, $H$145&lt;&gt;"Please Select"),"Total Number of Runs Per Year:","")</f>
        <v/>
      </c>
      <c r="AD165" s="420"/>
      <c r="AE165" s="420"/>
    </row>
    <row r="166" spans="2:55" s="28" customFormat="1" ht="14" x14ac:dyDescent="0.3"/>
    <row r="167" spans="2:55" s="28" customFormat="1" ht="14" x14ac:dyDescent="0.3"/>
    <row r="168" spans="2:55" s="28" customFormat="1" ht="74.25" customHeight="1" x14ac:dyDescent="0.3">
      <c r="B168" s="269" t="str">
        <f>IF(AND($H$145&gt;=1,$H$145&lt;&gt;"Please Select",I155=""),"Place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[.xlsx]).",IF(AND($H$145&gt;=1,$H$145&lt;&gt;"Please Select",I155&lt;&gt;""),"Place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C168" s="269"/>
      <c r="D168" s="269"/>
      <c r="E168" s="269"/>
      <c r="F168" s="269"/>
      <c r="G168" s="269"/>
      <c r="H168" s="269"/>
      <c r="I168" s="269"/>
      <c r="J168" s="269"/>
      <c r="O168" s="269" t="str">
        <f>IF(AND($H$145&gt;=2,$H$145&lt;&gt;"Please Select",V155=""),"Place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[.xlsx]).",IF(AND($H$145&gt;=2,$H$145&lt;&gt;"Please Select",V155&lt;&gt;""),"Place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P168" s="269"/>
      <c r="Q168" s="269"/>
      <c r="R168" s="269"/>
      <c r="S168" s="269"/>
      <c r="T168" s="269"/>
      <c r="U168" s="269"/>
      <c r="V168" s="269"/>
      <c r="W168" s="269"/>
      <c r="AB168" s="269" t="str">
        <f>IF(AND($H$145&gt;=3,$H$145&lt;&gt;"Please Select",AI155=""),"Place a current fully executed affiliation agreement for this active affiliate in the Documentation folder.  "&amp;"This document must be titled with the 'EXACT document name' and must be included as the type of file format listed below (not Word, 97-2003 [.doc], Word 2013 [.docx], or Excel [.xlsx]).",IF(AND($H$145&gt;=3,$H$145&lt;&gt;"Please Select",AI155&lt;&gt;""),"Place a current fully executed affiliation agreement for this active affiliate and the State OEMS approval in the Documentation folder.  "&amp;"Each document must be titled with the 'EXACT document name' and must be included as the type of file format listed below (not Word, 97-2003 [.doc], Word 2013 [.docx], or Excel [.xlsx]).",""))</f>
        <v/>
      </c>
      <c r="AC168" s="269"/>
      <c r="AD168" s="269"/>
      <c r="AE168" s="269"/>
      <c r="AF168" s="269"/>
      <c r="AG168" s="269"/>
      <c r="AH168" s="269"/>
      <c r="AI168" s="269"/>
      <c r="AJ168" s="269"/>
    </row>
    <row r="169" spans="2:55" s="28" customFormat="1" ht="27" customHeight="1" x14ac:dyDescent="0.3">
      <c r="C169" s="112"/>
      <c r="E169" s="270" t="str">
        <f>IF(AND($H$145&gt;=1, $H$145&lt;&gt;"Please Select"),"            Exact Document Name:","")</f>
        <v/>
      </c>
      <c r="F169" s="270"/>
      <c r="G169" s="270"/>
      <c r="H169" s="270"/>
      <c r="I169" s="270"/>
      <c r="J169" s="270"/>
      <c r="P169" s="112"/>
      <c r="R169" s="270" t="str">
        <f>IF(AND($H$145&gt;=2, $H$145&lt;&gt;"Please Select"),"            Exact Document Name:","")</f>
        <v/>
      </c>
      <c r="S169" s="270"/>
      <c r="T169" s="270"/>
      <c r="U169" s="270"/>
      <c r="V169" s="270"/>
      <c r="W169" s="270"/>
      <c r="AC169" s="112"/>
      <c r="AE169" s="270" t="str">
        <f>IF(AND($H$145&gt;=3, $H$145&lt;&gt;"Please Select"),"            Exact Document Name:","")</f>
        <v/>
      </c>
      <c r="AF169" s="270"/>
      <c r="AG169" s="270"/>
      <c r="AH169" s="270"/>
      <c r="AI169" s="270"/>
      <c r="AJ169" s="270"/>
    </row>
    <row r="170" spans="2:55" s="28" customFormat="1" ht="29.25" customHeight="1" x14ac:dyDescent="0.3">
      <c r="B170" s="346" t="str">
        <f>IF(AND(E170&lt;&gt;"",E171&lt;&gt;""),"Automatic Links ====&gt;",IF(E170&lt;&gt;"","Automatic Link ====&gt;",""))</f>
        <v/>
      </c>
      <c r="C170" s="346"/>
      <c r="E170" s="270" t="str">
        <f>IF(AND($H$145&gt;=1, $H$145&lt;&gt;"Please Select"),"                                            23 Field Affiliate 01","")</f>
        <v/>
      </c>
      <c r="F170" s="270"/>
      <c r="G170" s="270"/>
      <c r="H170" s="270"/>
      <c r="I170" s="270"/>
      <c r="J170" s="270"/>
      <c r="O170" s="346" t="str">
        <f>IF(AND(R170&lt;&gt;"",R171&lt;&gt;""),"Automatic Links ====&gt;",IF(R170&lt;&gt;"","Automatic Link ====&gt;",""))</f>
        <v/>
      </c>
      <c r="P170" s="346"/>
      <c r="R170" s="270" t="str">
        <f>IF(AND($H$145&gt;=2, $H$145&lt;&gt;"Please Select"),"                                            23 Field Affiliate 02","")</f>
        <v/>
      </c>
      <c r="S170" s="270"/>
      <c r="T170" s="270"/>
      <c r="U170" s="270"/>
      <c r="V170" s="270"/>
      <c r="W170" s="270"/>
      <c r="AB170" s="346" t="str">
        <f>IF(AND(AE170&lt;&gt;"",AE171&lt;&gt;""),"Automatic Links ====&gt;",IF(AE170&lt;&gt;"","Automatic Link ====&gt;",""))</f>
        <v/>
      </c>
      <c r="AC170" s="346"/>
      <c r="AE170" s="270" t="str">
        <f>IF(AND($H$145&gt;=3, $H$145&lt;&gt;"Please Select"),"                                            23 Field Affiliate 03","")</f>
        <v/>
      </c>
      <c r="AF170" s="270"/>
      <c r="AG170" s="270"/>
      <c r="AH170" s="270"/>
      <c r="AI170" s="270"/>
      <c r="AJ170" s="270"/>
    </row>
    <row r="171" spans="2:55" s="28" customFormat="1" ht="30" customHeight="1" x14ac:dyDescent="0.3">
      <c r="B171" s="271"/>
      <c r="C171" s="271"/>
      <c r="E171" s="270" t="str">
        <f>IF(AND($H$145&gt;=1, $H$145&lt;&gt;"Please Select",I155&lt;&gt;""),"                                            23 Field State Approval 01","")</f>
        <v/>
      </c>
      <c r="F171" s="270"/>
      <c r="G171" s="270"/>
      <c r="H171" s="270"/>
      <c r="I171" s="270"/>
      <c r="J171" s="270"/>
      <c r="O171" s="271"/>
      <c r="P171" s="271"/>
      <c r="R171" s="270" t="str">
        <f>IF(AND($H$145&gt;=2, $H$145&lt;&gt;"Please Select",V155&lt;&gt;""),"                                            23 Field State Approval 02","")</f>
        <v/>
      </c>
      <c r="S171" s="270"/>
      <c r="T171" s="270"/>
      <c r="U171" s="270"/>
      <c r="V171" s="270"/>
      <c r="W171" s="270"/>
      <c r="AB171" s="271"/>
      <c r="AC171" s="271"/>
      <c r="AE171" s="270" t="str">
        <f>IF(AND($H$145&gt;=3, $H$145&lt;&gt;"Please Select",AI155&lt;&gt;""),"                                            23 Field State Approval 03","")</f>
        <v/>
      </c>
      <c r="AF171" s="270"/>
      <c r="AG171" s="270"/>
      <c r="AH171" s="270"/>
      <c r="AI171" s="270"/>
      <c r="AJ171" s="270"/>
    </row>
    <row r="172" spans="2:55" s="28" customFormat="1" ht="27.75" customHeight="1" x14ac:dyDescent="0.3">
      <c r="C172" s="112"/>
      <c r="E172" s="413" t="str">
        <f>IF(AND($H$145&gt;=1, $H$145&lt;&gt;"Please Select"),"                   Type of File:     Adobe Portable Document (.pdf)","")</f>
        <v/>
      </c>
      <c r="F172" s="413"/>
      <c r="G172" s="413"/>
      <c r="H172" s="413"/>
      <c r="I172" s="413"/>
      <c r="J172" s="413"/>
      <c r="K172" s="415" t="str">
        <f>IF(AND($H$145&gt;1,$H$143&lt;&gt;"Please Select"),"Complete the next 
affiliate form to the right ==&gt;","")</f>
        <v/>
      </c>
      <c r="L172" s="415"/>
      <c r="M172" s="415"/>
      <c r="N172" s="415"/>
      <c r="P172" s="112"/>
      <c r="R172" s="413" t="str">
        <f>IF(AND($H$145&gt;=2, $H$145&lt;&gt;"Please Select"),"                   Type of File:     Adobe Portable Document (.pdf)","")</f>
        <v/>
      </c>
      <c r="S172" s="413"/>
      <c r="T172" s="413"/>
      <c r="U172" s="413"/>
      <c r="V172" s="413"/>
      <c r="W172" s="413"/>
      <c r="X172" s="429" t="str">
        <f>IF(AND($H$145=2,$H$145&lt;3), "Click here when finished 
to go to the next tab",IF(AND($H$145&gt;2,$H$143&lt;&gt;"Please Select"),"Complete the next 
affiliate form to the right ==&gt;",""))</f>
        <v/>
      </c>
      <c r="Y172" s="429"/>
      <c r="Z172" s="429"/>
      <c r="AA172" s="429"/>
      <c r="AC172" s="112"/>
      <c r="AE172" s="413" t="str">
        <f>IF(AND($H$145&gt;=3, $H$145&lt;&gt;"Please Select"),"                   Type of File:     Adobe Portable Document (.pdf)","")</f>
        <v/>
      </c>
      <c r="AF172" s="413"/>
      <c r="AG172" s="413"/>
      <c r="AH172" s="413"/>
      <c r="AI172" s="413"/>
      <c r="AJ172" s="413"/>
      <c r="AK172" s="429"/>
      <c r="AL172" s="429"/>
      <c r="AM172" s="429"/>
      <c r="AN172" s="429"/>
    </row>
    <row r="173" spans="2:55" s="28" customFormat="1" ht="14" x14ac:dyDescent="0.3"/>
    <row r="174" spans="2:55" s="28" customFormat="1" ht="14" x14ac:dyDescent="0.3"/>
    <row r="183" spans="2:11" s="28" customFormat="1" ht="24" customHeight="1" x14ac:dyDescent="0.3">
      <c r="B183" s="431" t="str">
        <f>IF('Program Info'!G70="Yes","Congratulations!!  Please double check and send to the CoAEMSP","")</f>
        <v/>
      </c>
      <c r="C183" s="431"/>
      <c r="D183" s="431"/>
      <c r="E183" s="431"/>
      <c r="F183" s="431"/>
      <c r="G183" s="431"/>
      <c r="H183" s="431"/>
      <c r="K183" s="56"/>
    </row>
  </sheetData>
  <sheetProtection algorithmName="SHA-512" hashValue="sZYo3UQf09ovenWKr4MFchPbYRy9TgzV7etzbTbVJq1GOTs1gav4ahKE+3/vNQAOUABc0xrQj4rHhHuQ3yjYqA==" saltValue="sKUHo4qE0UtEfvTArb0xIQ==" spinCount="100000" sheet="1" formatRows="0" selectLockedCells="1"/>
  <mergeCells count="928">
    <mergeCell ref="B4:O4"/>
    <mergeCell ref="C3:J3"/>
    <mergeCell ref="BX59:CB59"/>
    <mergeCell ref="BX132:CB132"/>
    <mergeCell ref="B183:H183"/>
    <mergeCell ref="A62:N63"/>
    <mergeCell ref="BO62:CB63"/>
    <mergeCell ref="BB62:BN63"/>
    <mergeCell ref="E172:J172"/>
    <mergeCell ref="K172:N172"/>
    <mergeCell ref="R172:W172"/>
    <mergeCell ref="X172:AA172"/>
    <mergeCell ref="AE172:AJ172"/>
    <mergeCell ref="AK172:AN172"/>
    <mergeCell ref="B171:C171"/>
    <mergeCell ref="E171:J171"/>
    <mergeCell ref="O171:P171"/>
    <mergeCell ref="R171:W171"/>
    <mergeCell ref="AB171:AC171"/>
    <mergeCell ref="AE171:AJ171"/>
    <mergeCell ref="B170:C170"/>
    <mergeCell ref="E170:J170"/>
    <mergeCell ref="O170:P170"/>
    <mergeCell ref="R170:W170"/>
    <mergeCell ref="AB170:AC170"/>
    <mergeCell ref="AE170:AJ170"/>
    <mergeCell ref="E169:J169"/>
    <mergeCell ref="R169:W169"/>
    <mergeCell ref="AE169:AJ169"/>
    <mergeCell ref="B168:J168"/>
    <mergeCell ref="O168:W168"/>
    <mergeCell ref="AB168:AJ168"/>
    <mergeCell ref="D165:E165"/>
    <mergeCell ref="Q165:R165"/>
    <mergeCell ref="AD165:AE165"/>
    <mergeCell ref="D161:F161"/>
    <mergeCell ref="Q161:S161"/>
    <mergeCell ref="AD161:AF161"/>
    <mergeCell ref="C158:D158"/>
    <mergeCell ref="P158:Q158"/>
    <mergeCell ref="AC158:AD158"/>
    <mergeCell ref="C157:F157"/>
    <mergeCell ref="P157:S157"/>
    <mergeCell ref="AC157:AF157"/>
    <mergeCell ref="AO155:AR156"/>
    <mergeCell ref="C155:F155"/>
    <mergeCell ref="I155:L156"/>
    <mergeCell ref="P155:S155"/>
    <mergeCell ref="V155:Y156"/>
    <mergeCell ref="AC155:AF155"/>
    <mergeCell ref="AI155:AL156"/>
    <mergeCell ref="C156:F156"/>
    <mergeCell ref="P156:S156"/>
    <mergeCell ref="AC156:AF156"/>
    <mergeCell ref="B153:H153"/>
    <mergeCell ref="O153:U153"/>
    <mergeCell ref="AB153:AH153"/>
    <mergeCell ref="B151:F151"/>
    <mergeCell ref="J151:K151"/>
    <mergeCell ref="AB151:AF151"/>
    <mergeCell ref="AO151:AS151"/>
    <mergeCell ref="BB151:BF151"/>
    <mergeCell ref="BO151:BS151"/>
    <mergeCell ref="B145:F145"/>
    <mergeCell ref="AB145:AF145"/>
    <mergeCell ref="AO145:AS145"/>
    <mergeCell ref="BB145:BF145"/>
    <mergeCell ref="BO145:BS145"/>
    <mergeCell ref="BO143:BS143"/>
    <mergeCell ref="F135:J135"/>
    <mergeCell ref="B141:H141"/>
    <mergeCell ref="B143:F143"/>
    <mergeCell ref="AB143:AF143"/>
    <mergeCell ref="AO143:AS143"/>
    <mergeCell ref="BB143:BF143"/>
    <mergeCell ref="A137:N138"/>
    <mergeCell ref="O137:AA138"/>
    <mergeCell ref="AB137:AN138"/>
    <mergeCell ref="AO137:BA138"/>
    <mergeCell ref="BB137:BN138"/>
    <mergeCell ref="BO137:CB138"/>
    <mergeCell ref="AR132:AW132"/>
    <mergeCell ref="AX132:BA132"/>
    <mergeCell ref="BE132:BJ132"/>
    <mergeCell ref="BK132:BN132"/>
    <mergeCell ref="BR132:BW132"/>
    <mergeCell ref="E132:J132"/>
    <mergeCell ref="K132:N132"/>
    <mergeCell ref="R132:W132"/>
    <mergeCell ref="X132:AA132"/>
    <mergeCell ref="AE132:AJ132"/>
    <mergeCell ref="AK132:AN132"/>
    <mergeCell ref="CB131:CC131"/>
    <mergeCell ref="AO131:AP131"/>
    <mergeCell ref="AR131:AW131"/>
    <mergeCell ref="BB131:BC131"/>
    <mergeCell ref="BE131:BJ131"/>
    <mergeCell ref="BO131:BP131"/>
    <mergeCell ref="BR131:BW131"/>
    <mergeCell ref="B131:C131"/>
    <mergeCell ref="E131:J131"/>
    <mergeCell ref="O131:P131"/>
    <mergeCell ref="R131:W131"/>
    <mergeCell ref="AB131:AC131"/>
    <mergeCell ref="AE131:AJ131"/>
    <mergeCell ref="AO130:AP130"/>
    <mergeCell ref="AR130:AW130"/>
    <mergeCell ref="BB130:BC130"/>
    <mergeCell ref="BE130:BJ130"/>
    <mergeCell ref="BO130:BP130"/>
    <mergeCell ref="BR130:BW130"/>
    <mergeCell ref="B130:C130"/>
    <mergeCell ref="E130:J130"/>
    <mergeCell ref="O130:P130"/>
    <mergeCell ref="R130:W130"/>
    <mergeCell ref="AB130:AC130"/>
    <mergeCell ref="AE130:AJ130"/>
    <mergeCell ref="E129:J129"/>
    <mergeCell ref="R129:W129"/>
    <mergeCell ref="AE129:AJ129"/>
    <mergeCell ref="AR129:AW129"/>
    <mergeCell ref="BE129:BJ129"/>
    <mergeCell ref="BR129:BW129"/>
    <mergeCell ref="B128:J128"/>
    <mergeCell ref="O128:W128"/>
    <mergeCell ref="AB128:AJ128"/>
    <mergeCell ref="AO128:AW128"/>
    <mergeCell ref="BB128:BJ128"/>
    <mergeCell ref="BO128:BW128"/>
    <mergeCell ref="BO125:BQ125"/>
    <mergeCell ref="BR125:BS125"/>
    <mergeCell ref="BT125:BU125"/>
    <mergeCell ref="AB125:AD125"/>
    <mergeCell ref="AE125:AF125"/>
    <mergeCell ref="AG125:AH125"/>
    <mergeCell ref="AO125:AQ125"/>
    <mergeCell ref="AR125:AS125"/>
    <mergeCell ref="AT125:AU125"/>
    <mergeCell ref="B125:D125"/>
    <mergeCell ref="E125:F125"/>
    <mergeCell ref="G125:H125"/>
    <mergeCell ref="O125:Q125"/>
    <mergeCell ref="R125:S125"/>
    <mergeCell ref="T125:U125"/>
    <mergeCell ref="BB124:BD124"/>
    <mergeCell ref="BE124:BF124"/>
    <mergeCell ref="BG124:BH124"/>
    <mergeCell ref="B124:D124"/>
    <mergeCell ref="E124:F124"/>
    <mergeCell ref="G124:H124"/>
    <mergeCell ref="O124:Q124"/>
    <mergeCell ref="R124:S124"/>
    <mergeCell ref="T124:U124"/>
    <mergeCell ref="BB125:BD125"/>
    <mergeCell ref="BE125:BF125"/>
    <mergeCell ref="BG125:BH125"/>
    <mergeCell ref="BO124:BQ124"/>
    <mergeCell ref="BR124:BS124"/>
    <mergeCell ref="BT124:BU124"/>
    <mergeCell ref="AB124:AD124"/>
    <mergeCell ref="AE124:AF124"/>
    <mergeCell ref="AG124:AH124"/>
    <mergeCell ref="AO124:AQ124"/>
    <mergeCell ref="AR124:AS124"/>
    <mergeCell ref="AT124:AU124"/>
    <mergeCell ref="BO123:BQ123"/>
    <mergeCell ref="BR123:BS123"/>
    <mergeCell ref="BT123:BU123"/>
    <mergeCell ref="AB123:AD123"/>
    <mergeCell ref="AE123:AF123"/>
    <mergeCell ref="AG123:AH123"/>
    <mergeCell ref="AO123:AQ123"/>
    <mergeCell ref="AR123:AS123"/>
    <mergeCell ref="AT123:AU123"/>
    <mergeCell ref="B123:D123"/>
    <mergeCell ref="E123:F123"/>
    <mergeCell ref="G123:H123"/>
    <mergeCell ref="O123:Q123"/>
    <mergeCell ref="R123:S123"/>
    <mergeCell ref="T123:U123"/>
    <mergeCell ref="BB122:BD122"/>
    <mergeCell ref="BE122:BF122"/>
    <mergeCell ref="BG122:BH122"/>
    <mergeCell ref="B122:D122"/>
    <mergeCell ref="E122:F122"/>
    <mergeCell ref="G122:H122"/>
    <mergeCell ref="O122:Q122"/>
    <mergeCell ref="R122:S122"/>
    <mergeCell ref="T122:U122"/>
    <mergeCell ref="BB123:BD123"/>
    <mergeCell ref="BE123:BF123"/>
    <mergeCell ref="BG123:BH123"/>
    <mergeCell ref="BO122:BQ122"/>
    <mergeCell ref="BR122:BS122"/>
    <mergeCell ref="BT122:BU122"/>
    <mergeCell ref="AB122:AD122"/>
    <mergeCell ref="AE122:AF122"/>
    <mergeCell ref="AG122:AH122"/>
    <mergeCell ref="AO122:AQ122"/>
    <mergeCell ref="AR122:AS122"/>
    <mergeCell ref="AT122:AU122"/>
    <mergeCell ref="BO121:BQ121"/>
    <mergeCell ref="BR121:BS121"/>
    <mergeCell ref="BT121:BU121"/>
    <mergeCell ref="AB121:AD121"/>
    <mergeCell ref="AE121:AF121"/>
    <mergeCell ref="AG121:AH121"/>
    <mergeCell ref="AO121:AQ121"/>
    <mergeCell ref="AR121:AS121"/>
    <mergeCell ref="AT121:AU121"/>
    <mergeCell ref="B121:D121"/>
    <mergeCell ref="E121:F121"/>
    <mergeCell ref="G121:H121"/>
    <mergeCell ref="O121:Q121"/>
    <mergeCell ref="R121:S121"/>
    <mergeCell ref="T121:U121"/>
    <mergeCell ref="BB120:BD120"/>
    <mergeCell ref="BE120:BF120"/>
    <mergeCell ref="BG120:BH120"/>
    <mergeCell ref="B120:D120"/>
    <mergeCell ref="E120:F120"/>
    <mergeCell ref="G120:H120"/>
    <mergeCell ref="O120:Q120"/>
    <mergeCell ref="R120:S120"/>
    <mergeCell ref="T120:U120"/>
    <mergeCell ref="BB121:BD121"/>
    <mergeCell ref="BE121:BF121"/>
    <mergeCell ref="BG121:BH121"/>
    <mergeCell ref="BO120:BQ120"/>
    <mergeCell ref="BR120:BS120"/>
    <mergeCell ref="BT120:BU120"/>
    <mergeCell ref="AB120:AD120"/>
    <mergeCell ref="AE120:AF120"/>
    <mergeCell ref="AG120:AH120"/>
    <mergeCell ref="AO120:AQ120"/>
    <mergeCell ref="AR120:AS120"/>
    <mergeCell ref="AT120:AU120"/>
    <mergeCell ref="BO119:BQ119"/>
    <mergeCell ref="BR119:BS119"/>
    <mergeCell ref="BT119:BU119"/>
    <mergeCell ref="AB119:AD119"/>
    <mergeCell ref="AE119:AF119"/>
    <mergeCell ref="AG119:AH119"/>
    <mergeCell ref="AO119:AQ119"/>
    <mergeCell ref="AR119:AS119"/>
    <mergeCell ref="AT119:AU119"/>
    <mergeCell ref="B119:D119"/>
    <mergeCell ref="E119:F119"/>
    <mergeCell ref="G119:H119"/>
    <mergeCell ref="O119:Q119"/>
    <mergeCell ref="R119:S119"/>
    <mergeCell ref="T119:U119"/>
    <mergeCell ref="BB118:BD118"/>
    <mergeCell ref="BE118:BF118"/>
    <mergeCell ref="BG118:BH118"/>
    <mergeCell ref="B118:D118"/>
    <mergeCell ref="E118:F118"/>
    <mergeCell ref="G118:H118"/>
    <mergeCell ref="O118:Q118"/>
    <mergeCell ref="R118:S118"/>
    <mergeCell ref="T118:U118"/>
    <mergeCell ref="BB119:BD119"/>
    <mergeCell ref="BE119:BF119"/>
    <mergeCell ref="BG119:BH119"/>
    <mergeCell ref="BO118:BQ118"/>
    <mergeCell ref="BR118:BS118"/>
    <mergeCell ref="BT118:BU118"/>
    <mergeCell ref="AB118:AD118"/>
    <mergeCell ref="AE118:AF118"/>
    <mergeCell ref="AG118:AH118"/>
    <mergeCell ref="AO118:AQ118"/>
    <mergeCell ref="AR118:AS118"/>
    <mergeCell ref="AT118:AU118"/>
    <mergeCell ref="BO117:BQ117"/>
    <mergeCell ref="BR117:BS117"/>
    <mergeCell ref="BT117:BU117"/>
    <mergeCell ref="AB117:AD117"/>
    <mergeCell ref="AE117:AF117"/>
    <mergeCell ref="AG117:AH117"/>
    <mergeCell ref="AO117:AQ117"/>
    <mergeCell ref="AR117:AS117"/>
    <mergeCell ref="AT117:AU117"/>
    <mergeCell ref="B117:D117"/>
    <mergeCell ref="E117:F117"/>
    <mergeCell ref="G117:H117"/>
    <mergeCell ref="O117:Q117"/>
    <mergeCell ref="R117:S117"/>
    <mergeCell ref="T117:U117"/>
    <mergeCell ref="BB116:BD116"/>
    <mergeCell ref="BE116:BF116"/>
    <mergeCell ref="BG116:BH116"/>
    <mergeCell ref="B116:D116"/>
    <mergeCell ref="E116:F116"/>
    <mergeCell ref="G116:H116"/>
    <mergeCell ref="O116:Q116"/>
    <mergeCell ref="R116:S116"/>
    <mergeCell ref="T116:U116"/>
    <mergeCell ref="BB117:BD117"/>
    <mergeCell ref="BE117:BF117"/>
    <mergeCell ref="BG117:BH117"/>
    <mergeCell ref="BO116:BQ116"/>
    <mergeCell ref="BR116:BS116"/>
    <mergeCell ref="BT116:BU116"/>
    <mergeCell ref="AB116:AD116"/>
    <mergeCell ref="AE116:AF116"/>
    <mergeCell ref="AG116:AH116"/>
    <mergeCell ref="AO116:AQ116"/>
    <mergeCell ref="AR116:AS116"/>
    <mergeCell ref="AT116:AU116"/>
    <mergeCell ref="BO115:BQ115"/>
    <mergeCell ref="BR115:BS115"/>
    <mergeCell ref="BT115:BU115"/>
    <mergeCell ref="AB115:AD115"/>
    <mergeCell ref="AE115:AF115"/>
    <mergeCell ref="AG115:AH115"/>
    <mergeCell ref="AO115:AQ115"/>
    <mergeCell ref="AR115:AS115"/>
    <mergeCell ref="AT115:AU115"/>
    <mergeCell ref="B115:D115"/>
    <mergeCell ref="E115:F115"/>
    <mergeCell ref="G115:H115"/>
    <mergeCell ref="O115:Q115"/>
    <mergeCell ref="R115:S115"/>
    <mergeCell ref="T115:U115"/>
    <mergeCell ref="BB114:BD114"/>
    <mergeCell ref="BE114:BF114"/>
    <mergeCell ref="BG114:BH114"/>
    <mergeCell ref="B114:D114"/>
    <mergeCell ref="E114:F114"/>
    <mergeCell ref="G114:H114"/>
    <mergeCell ref="O114:Q114"/>
    <mergeCell ref="R114:S114"/>
    <mergeCell ref="T114:U114"/>
    <mergeCell ref="BB115:BD115"/>
    <mergeCell ref="BE115:BF115"/>
    <mergeCell ref="BG115:BH115"/>
    <mergeCell ref="BO114:BQ114"/>
    <mergeCell ref="BR114:BS114"/>
    <mergeCell ref="BT114:BU114"/>
    <mergeCell ref="AB114:AD114"/>
    <mergeCell ref="AE114:AF114"/>
    <mergeCell ref="AG114:AH114"/>
    <mergeCell ref="AO114:AQ114"/>
    <mergeCell ref="AR114:AS114"/>
    <mergeCell ref="AT114:AU114"/>
    <mergeCell ref="BO113:BQ113"/>
    <mergeCell ref="BR113:BS113"/>
    <mergeCell ref="BT113:BU113"/>
    <mergeCell ref="AB113:AD113"/>
    <mergeCell ref="AE113:AF113"/>
    <mergeCell ref="AG113:AH113"/>
    <mergeCell ref="AO113:AQ113"/>
    <mergeCell ref="AR113:AS113"/>
    <mergeCell ref="AT113:AU113"/>
    <mergeCell ref="B113:D113"/>
    <mergeCell ref="E113:F113"/>
    <mergeCell ref="G113:H113"/>
    <mergeCell ref="O113:Q113"/>
    <mergeCell ref="R113:S113"/>
    <mergeCell ref="T113:U113"/>
    <mergeCell ref="BB112:BD112"/>
    <mergeCell ref="BE112:BF112"/>
    <mergeCell ref="BG112:BH112"/>
    <mergeCell ref="B112:D112"/>
    <mergeCell ref="E112:F112"/>
    <mergeCell ref="G112:H112"/>
    <mergeCell ref="O112:Q112"/>
    <mergeCell ref="R112:S112"/>
    <mergeCell ref="T112:U112"/>
    <mergeCell ref="BB113:BD113"/>
    <mergeCell ref="BE113:BF113"/>
    <mergeCell ref="BG113:BH113"/>
    <mergeCell ref="BO112:BQ112"/>
    <mergeCell ref="BR112:BS112"/>
    <mergeCell ref="BT112:BU112"/>
    <mergeCell ref="AB112:AD112"/>
    <mergeCell ref="AE112:AF112"/>
    <mergeCell ref="AG112:AH112"/>
    <mergeCell ref="AO112:AQ112"/>
    <mergeCell ref="AR112:AS112"/>
    <mergeCell ref="AT112:AU112"/>
    <mergeCell ref="BO111:BQ111"/>
    <mergeCell ref="BR111:BS111"/>
    <mergeCell ref="BT111:BU111"/>
    <mergeCell ref="AB111:AD111"/>
    <mergeCell ref="AE111:AF111"/>
    <mergeCell ref="AG111:AH111"/>
    <mergeCell ref="AO111:AQ111"/>
    <mergeCell ref="AR111:AS111"/>
    <mergeCell ref="AT111:AU111"/>
    <mergeCell ref="B111:D111"/>
    <mergeCell ref="E111:F111"/>
    <mergeCell ref="G111:H111"/>
    <mergeCell ref="O111:Q111"/>
    <mergeCell ref="R111:S111"/>
    <mergeCell ref="T111:U111"/>
    <mergeCell ref="BB110:BD110"/>
    <mergeCell ref="BE110:BF110"/>
    <mergeCell ref="BG110:BH110"/>
    <mergeCell ref="B110:D110"/>
    <mergeCell ref="E110:F110"/>
    <mergeCell ref="G110:H110"/>
    <mergeCell ref="O110:Q110"/>
    <mergeCell ref="R110:S110"/>
    <mergeCell ref="T110:U110"/>
    <mergeCell ref="BB111:BD111"/>
    <mergeCell ref="BE111:BF111"/>
    <mergeCell ref="BG111:BH111"/>
    <mergeCell ref="BO110:BQ110"/>
    <mergeCell ref="BR110:BS110"/>
    <mergeCell ref="BT110:BU110"/>
    <mergeCell ref="AB110:AD110"/>
    <mergeCell ref="AE110:AF110"/>
    <mergeCell ref="AG110:AH110"/>
    <mergeCell ref="AO110:AQ110"/>
    <mergeCell ref="AR110:AS110"/>
    <mergeCell ref="AT110:AU110"/>
    <mergeCell ref="BO109:BQ109"/>
    <mergeCell ref="BR109:BS109"/>
    <mergeCell ref="BT109:BU109"/>
    <mergeCell ref="AB109:AD109"/>
    <mergeCell ref="AE109:AF109"/>
    <mergeCell ref="AG109:AH109"/>
    <mergeCell ref="AO109:AQ109"/>
    <mergeCell ref="AR109:AS109"/>
    <mergeCell ref="AT109:AU109"/>
    <mergeCell ref="B109:D109"/>
    <mergeCell ref="E109:F109"/>
    <mergeCell ref="G109:H109"/>
    <mergeCell ref="O109:Q109"/>
    <mergeCell ref="R109:S109"/>
    <mergeCell ref="T109:U109"/>
    <mergeCell ref="BB108:BD108"/>
    <mergeCell ref="BE108:BF108"/>
    <mergeCell ref="BG108:BH108"/>
    <mergeCell ref="B108:D108"/>
    <mergeCell ref="E108:F108"/>
    <mergeCell ref="G108:H108"/>
    <mergeCell ref="O108:Q108"/>
    <mergeCell ref="R108:S108"/>
    <mergeCell ref="T108:U108"/>
    <mergeCell ref="BB109:BD109"/>
    <mergeCell ref="BE109:BF109"/>
    <mergeCell ref="BG109:BH109"/>
    <mergeCell ref="BO108:BQ108"/>
    <mergeCell ref="BR108:BS108"/>
    <mergeCell ref="BT108:BU108"/>
    <mergeCell ref="AB108:AD108"/>
    <mergeCell ref="AE108:AF108"/>
    <mergeCell ref="AG108:AH108"/>
    <mergeCell ref="AO108:AQ108"/>
    <mergeCell ref="AR108:AS108"/>
    <mergeCell ref="AT108:AU108"/>
    <mergeCell ref="BO107:BQ107"/>
    <mergeCell ref="BR107:BS107"/>
    <mergeCell ref="BT107:BU107"/>
    <mergeCell ref="AB107:AD107"/>
    <mergeCell ref="AE107:AF107"/>
    <mergeCell ref="AG107:AH107"/>
    <mergeCell ref="AO107:AQ107"/>
    <mergeCell ref="AR107:AS107"/>
    <mergeCell ref="AT107:AU107"/>
    <mergeCell ref="B107:D107"/>
    <mergeCell ref="E107:F107"/>
    <mergeCell ref="G107:H107"/>
    <mergeCell ref="O107:Q107"/>
    <mergeCell ref="R107:S107"/>
    <mergeCell ref="T107:U107"/>
    <mergeCell ref="BB106:BD106"/>
    <mergeCell ref="BE106:BF106"/>
    <mergeCell ref="BG106:BH106"/>
    <mergeCell ref="B106:D106"/>
    <mergeCell ref="E106:F106"/>
    <mergeCell ref="G106:H106"/>
    <mergeCell ref="O106:Q106"/>
    <mergeCell ref="R106:S106"/>
    <mergeCell ref="T106:U106"/>
    <mergeCell ref="BB107:BD107"/>
    <mergeCell ref="BE107:BF107"/>
    <mergeCell ref="BG107:BH107"/>
    <mergeCell ref="BO106:BQ106"/>
    <mergeCell ref="BR106:BS106"/>
    <mergeCell ref="BT106:BU106"/>
    <mergeCell ref="AB106:AD106"/>
    <mergeCell ref="AE106:AF106"/>
    <mergeCell ref="AG106:AH106"/>
    <mergeCell ref="AO106:AQ106"/>
    <mergeCell ref="AR106:AS106"/>
    <mergeCell ref="AT106:AU106"/>
    <mergeCell ref="BO105:BQ105"/>
    <mergeCell ref="BR105:BS105"/>
    <mergeCell ref="BT105:BU105"/>
    <mergeCell ref="AB105:AD105"/>
    <mergeCell ref="AE105:AF105"/>
    <mergeCell ref="AG105:AH105"/>
    <mergeCell ref="AO105:AQ105"/>
    <mergeCell ref="AR105:AS105"/>
    <mergeCell ref="AT105:AU105"/>
    <mergeCell ref="B105:D105"/>
    <mergeCell ref="E105:F105"/>
    <mergeCell ref="G105:H105"/>
    <mergeCell ref="O105:Q105"/>
    <mergeCell ref="R105:S105"/>
    <mergeCell ref="T105:U105"/>
    <mergeCell ref="BB104:BD104"/>
    <mergeCell ref="BE104:BF104"/>
    <mergeCell ref="BG104:BH104"/>
    <mergeCell ref="B104:D104"/>
    <mergeCell ref="E104:F104"/>
    <mergeCell ref="G104:H104"/>
    <mergeCell ref="O104:Q104"/>
    <mergeCell ref="R104:S104"/>
    <mergeCell ref="T104:U104"/>
    <mergeCell ref="BB105:BD105"/>
    <mergeCell ref="BE105:BF105"/>
    <mergeCell ref="BG105:BH105"/>
    <mergeCell ref="BO104:BQ104"/>
    <mergeCell ref="BR104:BS104"/>
    <mergeCell ref="BT104:BU104"/>
    <mergeCell ref="AB104:AD104"/>
    <mergeCell ref="AE104:AF104"/>
    <mergeCell ref="AG104:AH104"/>
    <mergeCell ref="AO104:AQ104"/>
    <mergeCell ref="AR104:AS104"/>
    <mergeCell ref="AT104:AU104"/>
    <mergeCell ref="BO103:BQ103"/>
    <mergeCell ref="BR103:BS103"/>
    <mergeCell ref="BT103:BU103"/>
    <mergeCell ref="AB103:AD103"/>
    <mergeCell ref="AE103:AF103"/>
    <mergeCell ref="AG103:AH103"/>
    <mergeCell ref="AO103:AQ103"/>
    <mergeCell ref="AR103:AS103"/>
    <mergeCell ref="AT103:AU103"/>
    <mergeCell ref="B103:D103"/>
    <mergeCell ref="E103:F103"/>
    <mergeCell ref="G103:H103"/>
    <mergeCell ref="O103:Q103"/>
    <mergeCell ref="R103:S103"/>
    <mergeCell ref="T103:U103"/>
    <mergeCell ref="BB102:BD102"/>
    <mergeCell ref="BE102:BF102"/>
    <mergeCell ref="BG102:BH102"/>
    <mergeCell ref="B102:D102"/>
    <mergeCell ref="E102:F102"/>
    <mergeCell ref="G102:H102"/>
    <mergeCell ref="O102:Q102"/>
    <mergeCell ref="R102:S102"/>
    <mergeCell ref="T102:U102"/>
    <mergeCell ref="BB103:BD103"/>
    <mergeCell ref="BE103:BF103"/>
    <mergeCell ref="BG103:BH103"/>
    <mergeCell ref="BO102:BQ102"/>
    <mergeCell ref="BR102:BS102"/>
    <mergeCell ref="BT102:BU102"/>
    <mergeCell ref="AB102:AD102"/>
    <mergeCell ref="AE102:AF102"/>
    <mergeCell ref="AG102:AH102"/>
    <mergeCell ref="AO102:AQ102"/>
    <mergeCell ref="AR102:AS102"/>
    <mergeCell ref="AT102:AU102"/>
    <mergeCell ref="BO101:BQ101"/>
    <mergeCell ref="BR101:BS101"/>
    <mergeCell ref="BT101:BU101"/>
    <mergeCell ref="AB101:AD101"/>
    <mergeCell ref="AE101:AF101"/>
    <mergeCell ref="AG101:AH101"/>
    <mergeCell ref="AO101:AQ101"/>
    <mergeCell ref="AR101:AS101"/>
    <mergeCell ref="AT101:AU101"/>
    <mergeCell ref="B101:D101"/>
    <mergeCell ref="E101:F101"/>
    <mergeCell ref="G101:H101"/>
    <mergeCell ref="O101:Q101"/>
    <mergeCell ref="R101:S101"/>
    <mergeCell ref="T101:U101"/>
    <mergeCell ref="BB100:BD100"/>
    <mergeCell ref="BE100:BF100"/>
    <mergeCell ref="BG100:BH100"/>
    <mergeCell ref="B100:D100"/>
    <mergeCell ref="E100:F100"/>
    <mergeCell ref="G100:H100"/>
    <mergeCell ref="O100:Q100"/>
    <mergeCell ref="R100:S100"/>
    <mergeCell ref="T100:U100"/>
    <mergeCell ref="BB101:BD101"/>
    <mergeCell ref="BE101:BF101"/>
    <mergeCell ref="BG101:BH101"/>
    <mergeCell ref="BO100:BQ100"/>
    <mergeCell ref="BR100:BS100"/>
    <mergeCell ref="BT100:BU100"/>
    <mergeCell ref="AB100:AD100"/>
    <mergeCell ref="AE100:AF100"/>
    <mergeCell ref="AG100:AH100"/>
    <mergeCell ref="AO100:AQ100"/>
    <mergeCell ref="AR100:AS100"/>
    <mergeCell ref="AT100:AU100"/>
    <mergeCell ref="B99:H99"/>
    <mergeCell ref="O99:U99"/>
    <mergeCell ref="AB99:AH99"/>
    <mergeCell ref="AO99:AU99"/>
    <mergeCell ref="BB99:BH99"/>
    <mergeCell ref="BO99:BU99"/>
    <mergeCell ref="AO98:AP98"/>
    <mergeCell ref="AQ98:AR98"/>
    <mergeCell ref="BB98:BC98"/>
    <mergeCell ref="BD98:BE98"/>
    <mergeCell ref="BO98:BP98"/>
    <mergeCell ref="BQ98:BR98"/>
    <mergeCell ref="B98:C98"/>
    <mergeCell ref="D98:E98"/>
    <mergeCell ref="O98:P98"/>
    <mergeCell ref="Q98:R98"/>
    <mergeCell ref="AB98:AC98"/>
    <mergeCell ref="AD98:AE98"/>
    <mergeCell ref="D96:E96"/>
    <mergeCell ref="Q96:R96"/>
    <mergeCell ref="AD96:AE96"/>
    <mergeCell ref="AQ96:AR96"/>
    <mergeCell ref="BD96:BE96"/>
    <mergeCell ref="BQ96:BR96"/>
    <mergeCell ref="D95:E95"/>
    <mergeCell ref="Q95:R95"/>
    <mergeCell ref="AD95:AE95"/>
    <mergeCell ref="AQ95:AR95"/>
    <mergeCell ref="BD95:BE95"/>
    <mergeCell ref="BQ95:BR95"/>
    <mergeCell ref="AO94:AP94"/>
    <mergeCell ref="AQ94:AR94"/>
    <mergeCell ref="BB94:BC94"/>
    <mergeCell ref="BD94:BE94"/>
    <mergeCell ref="BO94:BP94"/>
    <mergeCell ref="BQ94:BR94"/>
    <mergeCell ref="B94:C94"/>
    <mergeCell ref="D94:E94"/>
    <mergeCell ref="O94:P94"/>
    <mergeCell ref="Q94:R94"/>
    <mergeCell ref="AB94:AC94"/>
    <mergeCell ref="AD94:AE94"/>
    <mergeCell ref="C90:D90"/>
    <mergeCell ref="P90:Q90"/>
    <mergeCell ref="AC90:AD90"/>
    <mergeCell ref="AP90:AQ90"/>
    <mergeCell ref="BC90:BD90"/>
    <mergeCell ref="BP90:BQ90"/>
    <mergeCell ref="C89:F89"/>
    <mergeCell ref="P89:S89"/>
    <mergeCell ref="AC89:AF89"/>
    <mergeCell ref="AP89:AS89"/>
    <mergeCell ref="BC89:BF89"/>
    <mergeCell ref="BP89:BS89"/>
    <mergeCell ref="CB87:CE88"/>
    <mergeCell ref="AP87:AS87"/>
    <mergeCell ref="AV87:AY88"/>
    <mergeCell ref="BC87:BF87"/>
    <mergeCell ref="BI87:BL88"/>
    <mergeCell ref="BP87:BS87"/>
    <mergeCell ref="BV87:BY88"/>
    <mergeCell ref="AP88:AS88"/>
    <mergeCell ref="BC88:BF88"/>
    <mergeCell ref="BP88:BS88"/>
    <mergeCell ref="C87:F87"/>
    <mergeCell ref="I87:L88"/>
    <mergeCell ref="P87:S87"/>
    <mergeCell ref="V87:Y88"/>
    <mergeCell ref="AC87:AF87"/>
    <mergeCell ref="AI87:AL88"/>
    <mergeCell ref="C88:F88"/>
    <mergeCell ref="P88:S88"/>
    <mergeCell ref="AC88:AF88"/>
    <mergeCell ref="B85:H85"/>
    <mergeCell ref="O85:U85"/>
    <mergeCell ref="AB85:AH85"/>
    <mergeCell ref="AO85:AU85"/>
    <mergeCell ref="BB85:BH85"/>
    <mergeCell ref="BO85:BU85"/>
    <mergeCell ref="AB82:AH82"/>
    <mergeCell ref="AO82:AU82"/>
    <mergeCell ref="BB82:BH82"/>
    <mergeCell ref="BO82:BU82"/>
    <mergeCell ref="B73:F73"/>
    <mergeCell ref="B76:F76"/>
    <mergeCell ref="B78:F78"/>
    <mergeCell ref="B80:I80"/>
    <mergeCell ref="B82:I82"/>
    <mergeCell ref="O82:U82"/>
    <mergeCell ref="B71:F71"/>
    <mergeCell ref="O71:S71"/>
    <mergeCell ref="AB71:AF71"/>
    <mergeCell ref="B67:F67"/>
    <mergeCell ref="AB67:AF67"/>
    <mergeCell ref="AO67:AS67"/>
    <mergeCell ref="BB67:BF67"/>
    <mergeCell ref="BO67:BS67"/>
    <mergeCell ref="B66:H66"/>
    <mergeCell ref="AO71:AS71"/>
    <mergeCell ref="BB71:BF71"/>
    <mergeCell ref="BO71:BS71"/>
    <mergeCell ref="B69:F69"/>
    <mergeCell ref="O69:S69"/>
    <mergeCell ref="AB69:AF69"/>
    <mergeCell ref="AO69:AS69"/>
    <mergeCell ref="BB69:BF69"/>
    <mergeCell ref="BO69:BS69"/>
    <mergeCell ref="AR59:AW59"/>
    <mergeCell ref="AX59:BA59"/>
    <mergeCell ref="BE59:BJ59"/>
    <mergeCell ref="BK59:BN59"/>
    <mergeCell ref="BR59:BW59"/>
    <mergeCell ref="E59:J59"/>
    <mergeCell ref="K59:N59"/>
    <mergeCell ref="R59:W59"/>
    <mergeCell ref="X59:AA59"/>
    <mergeCell ref="AE59:AJ59"/>
    <mergeCell ref="AK59:AN59"/>
    <mergeCell ref="CB58:CC58"/>
    <mergeCell ref="AO58:AP58"/>
    <mergeCell ref="AR58:AW58"/>
    <mergeCell ref="BB58:BC58"/>
    <mergeCell ref="BE58:BJ58"/>
    <mergeCell ref="BO58:BP58"/>
    <mergeCell ref="BR58:BW58"/>
    <mergeCell ref="B58:C58"/>
    <mergeCell ref="E58:J58"/>
    <mergeCell ref="O58:P58"/>
    <mergeCell ref="R58:W58"/>
    <mergeCell ref="AB58:AC58"/>
    <mergeCell ref="AE58:AJ58"/>
    <mergeCell ref="CB57:CC57"/>
    <mergeCell ref="AO57:AP57"/>
    <mergeCell ref="AR57:AW57"/>
    <mergeCell ref="BB57:BC57"/>
    <mergeCell ref="BE57:BJ57"/>
    <mergeCell ref="BO57:BP57"/>
    <mergeCell ref="BR57:BW57"/>
    <mergeCell ref="B57:C57"/>
    <mergeCell ref="E57:J57"/>
    <mergeCell ref="O57:P57"/>
    <mergeCell ref="R57:W57"/>
    <mergeCell ref="AB57:AC57"/>
    <mergeCell ref="AE57:AJ57"/>
    <mergeCell ref="CB56:CC56"/>
    <mergeCell ref="E56:J56"/>
    <mergeCell ref="R56:W56"/>
    <mergeCell ref="AE56:AJ56"/>
    <mergeCell ref="AR56:AW56"/>
    <mergeCell ref="BE56:BJ56"/>
    <mergeCell ref="BR56:BW56"/>
    <mergeCell ref="B55:J55"/>
    <mergeCell ref="O55:W55"/>
    <mergeCell ref="AB55:AJ55"/>
    <mergeCell ref="AO55:AW55"/>
    <mergeCell ref="BB55:BJ55"/>
    <mergeCell ref="BO55:BW55"/>
    <mergeCell ref="D52:E52"/>
    <mergeCell ref="Q52:R52"/>
    <mergeCell ref="AD52:AE52"/>
    <mergeCell ref="AQ52:AR52"/>
    <mergeCell ref="BD52:BE52"/>
    <mergeCell ref="BQ52:BR52"/>
    <mergeCell ref="D51:E51"/>
    <mergeCell ref="Q51:R51"/>
    <mergeCell ref="AD51:AE51"/>
    <mergeCell ref="AQ51:AR51"/>
    <mergeCell ref="BD51:BE51"/>
    <mergeCell ref="BQ51:BR51"/>
    <mergeCell ref="D50:E50"/>
    <mergeCell ref="Q50:R50"/>
    <mergeCell ref="AD50:AE50"/>
    <mergeCell ref="AQ50:AR50"/>
    <mergeCell ref="BD50:BE50"/>
    <mergeCell ref="BQ50:BR50"/>
    <mergeCell ref="D49:E49"/>
    <mergeCell ref="Q49:R49"/>
    <mergeCell ref="AD49:AE49"/>
    <mergeCell ref="AQ49:AR49"/>
    <mergeCell ref="BD49:BE49"/>
    <mergeCell ref="BQ49:BR49"/>
    <mergeCell ref="D48:E48"/>
    <mergeCell ref="Q48:R48"/>
    <mergeCell ref="AD48:AE48"/>
    <mergeCell ref="AQ48:AR48"/>
    <mergeCell ref="BD48:BE48"/>
    <mergeCell ref="BQ48:BR48"/>
    <mergeCell ref="D47:E47"/>
    <mergeCell ref="Q47:R47"/>
    <mergeCell ref="AD47:AE47"/>
    <mergeCell ref="AQ47:AR47"/>
    <mergeCell ref="BD47:BE47"/>
    <mergeCell ref="BQ47:BR47"/>
    <mergeCell ref="D46:E46"/>
    <mergeCell ref="Q46:R46"/>
    <mergeCell ref="AD46:AE46"/>
    <mergeCell ref="AQ46:AR46"/>
    <mergeCell ref="BD46:BE46"/>
    <mergeCell ref="BQ46:BR46"/>
    <mergeCell ref="D45:E45"/>
    <mergeCell ref="Q45:R45"/>
    <mergeCell ref="AD45:AE45"/>
    <mergeCell ref="AQ45:AR45"/>
    <mergeCell ref="BD45:BE45"/>
    <mergeCell ref="BQ45:BR45"/>
    <mergeCell ref="BD43:BE44"/>
    <mergeCell ref="BF43:BF44"/>
    <mergeCell ref="BO43:BO44"/>
    <mergeCell ref="BP43:BP44"/>
    <mergeCell ref="BQ43:BR44"/>
    <mergeCell ref="BS43:BS44"/>
    <mergeCell ref="AO43:AO44"/>
    <mergeCell ref="AP43:AP44"/>
    <mergeCell ref="AQ43:AR44"/>
    <mergeCell ref="AS43:AS44"/>
    <mergeCell ref="BB43:BB44"/>
    <mergeCell ref="BC43:BC44"/>
    <mergeCell ref="Q43:R44"/>
    <mergeCell ref="S43:S44"/>
    <mergeCell ref="AB43:AB44"/>
    <mergeCell ref="AC43:AC44"/>
    <mergeCell ref="AD43:AE44"/>
    <mergeCell ref="AF43:AF44"/>
    <mergeCell ref="B43:B44"/>
    <mergeCell ref="C43:C44"/>
    <mergeCell ref="D43:E44"/>
    <mergeCell ref="F43:F44"/>
    <mergeCell ref="O43:O44"/>
    <mergeCell ref="P43:P44"/>
    <mergeCell ref="D37:F37"/>
    <mergeCell ref="Q37:S37"/>
    <mergeCell ref="AD37:AF37"/>
    <mergeCell ref="AQ37:AS37"/>
    <mergeCell ref="BD37:BF37"/>
    <mergeCell ref="BQ37:BS37"/>
    <mergeCell ref="C34:D34"/>
    <mergeCell ref="P34:Q34"/>
    <mergeCell ref="AC34:AD34"/>
    <mergeCell ref="AP34:AQ34"/>
    <mergeCell ref="BC34:BD34"/>
    <mergeCell ref="BP34:BQ34"/>
    <mergeCell ref="C33:F33"/>
    <mergeCell ref="P33:S33"/>
    <mergeCell ref="AC33:AF33"/>
    <mergeCell ref="AP33:AS33"/>
    <mergeCell ref="BC33:BF33"/>
    <mergeCell ref="BP33:BS33"/>
    <mergeCell ref="CB31:CE32"/>
    <mergeCell ref="AP31:AS31"/>
    <mergeCell ref="AV31:AY32"/>
    <mergeCell ref="BC31:BF31"/>
    <mergeCell ref="BI31:BL32"/>
    <mergeCell ref="BP31:BS31"/>
    <mergeCell ref="BV31:BY32"/>
    <mergeCell ref="AP32:AS32"/>
    <mergeCell ref="BC32:BF32"/>
    <mergeCell ref="BP32:BS32"/>
    <mergeCell ref="C31:F31"/>
    <mergeCell ref="I31:L32"/>
    <mergeCell ref="P31:S31"/>
    <mergeCell ref="V31:Y32"/>
    <mergeCell ref="AC31:AF31"/>
    <mergeCell ref="AI31:AL32"/>
    <mergeCell ref="C32:F32"/>
    <mergeCell ref="P32:S32"/>
    <mergeCell ref="B29:H29"/>
    <mergeCell ref="O29:U29"/>
    <mergeCell ref="AB29:AH29"/>
    <mergeCell ref="AO29:AU29"/>
    <mergeCell ref="BB29:BH29"/>
    <mergeCell ref="BO29:BU29"/>
    <mergeCell ref="B25:I25"/>
    <mergeCell ref="B27:I27"/>
    <mergeCell ref="O27:U27"/>
    <mergeCell ref="AB27:AH27"/>
    <mergeCell ref="AO27:AU27"/>
    <mergeCell ref="BB27:BH27"/>
    <mergeCell ref="BO27:BU27"/>
    <mergeCell ref="B8:F8"/>
    <mergeCell ref="O8:S8"/>
    <mergeCell ref="AB8:AF8"/>
    <mergeCell ref="AO8:AS8"/>
    <mergeCell ref="BB8:BF8"/>
    <mergeCell ref="BO8:BS8"/>
    <mergeCell ref="B18:F18"/>
    <mergeCell ref="AB18:AF18"/>
    <mergeCell ref="AO18:AS18"/>
    <mergeCell ref="BB18:BF18"/>
    <mergeCell ref="BO18:BS18"/>
    <mergeCell ref="B16:F16"/>
    <mergeCell ref="AB16:AF16"/>
    <mergeCell ref="AO16:AS16"/>
    <mergeCell ref="BB16:BF16"/>
    <mergeCell ref="BO16:BS16"/>
    <mergeCell ref="B15:H15"/>
    <mergeCell ref="AO62:BA63"/>
    <mergeCell ref="AB62:AN63"/>
    <mergeCell ref="O62:AA63"/>
    <mergeCell ref="BB13:BH13"/>
    <mergeCell ref="BO13:BU13"/>
    <mergeCell ref="O10:Q10"/>
    <mergeCell ref="B13:H13"/>
    <mergeCell ref="I13:J13"/>
    <mergeCell ref="O13:U13"/>
    <mergeCell ref="AB13:AH13"/>
    <mergeCell ref="AO13:AU13"/>
    <mergeCell ref="B23:F23"/>
    <mergeCell ref="J23:K23"/>
    <mergeCell ref="AB23:AF23"/>
    <mergeCell ref="AO23:AS23"/>
    <mergeCell ref="BB23:BF23"/>
    <mergeCell ref="BO23:BS23"/>
    <mergeCell ref="BO20:BS20"/>
    <mergeCell ref="B20:F20"/>
    <mergeCell ref="J20:K20"/>
    <mergeCell ref="AB20:AF20"/>
    <mergeCell ref="AO20:AS20"/>
    <mergeCell ref="BB20:BF20"/>
    <mergeCell ref="AC32:AF32"/>
    <mergeCell ref="B147:F147"/>
    <mergeCell ref="O147:S147"/>
    <mergeCell ref="AB147:AF147"/>
    <mergeCell ref="AO147:AS147"/>
    <mergeCell ref="BB147:BF147"/>
    <mergeCell ref="BO147:BS147"/>
    <mergeCell ref="B149:F149"/>
    <mergeCell ref="O149:S149"/>
    <mergeCell ref="AB149:AF149"/>
    <mergeCell ref="AO149:AS149"/>
    <mergeCell ref="BB149:BF149"/>
    <mergeCell ref="BO149:BS149"/>
  </mergeCells>
  <conditionalFormatting sqref="A62:N63">
    <cfRule type="expression" dxfId="623" priority="48">
      <formula>$H$16&gt;=1</formula>
    </cfRule>
  </conditionalFormatting>
  <conditionalFormatting sqref="A137:N138">
    <cfRule type="expression" dxfId="622" priority="15">
      <formula>$H$67&gt;=1</formula>
    </cfRule>
  </conditionalFormatting>
  <conditionalFormatting sqref="B45">
    <cfRule type="expression" dxfId="621" priority="3095">
      <formula>AND($H$16&gt;=1, $H$16&lt;&gt;"Please Select")</formula>
    </cfRule>
  </conditionalFormatting>
  <conditionalFormatting sqref="B48:B52">
    <cfRule type="expression" dxfId="620" priority="2384">
      <formula>AND($H$16&gt;=1, $H$16&lt;&gt;"Please Select")</formula>
    </cfRule>
  </conditionalFormatting>
  <conditionalFormatting sqref="B99">
    <cfRule type="expression" dxfId="619" priority="2369">
      <formula>AND($H$67&gt;=1, $H$67&lt;&gt;"Please Select")</formula>
    </cfRule>
  </conditionalFormatting>
  <conditionalFormatting sqref="B101:D125">
    <cfRule type="expression" dxfId="618" priority="2371">
      <formula>AND($H$67&gt;=1, $H$67&lt;&gt;"Please Select")</formula>
    </cfRule>
  </conditionalFormatting>
  <conditionalFormatting sqref="B47:E47">
    <cfRule type="expression" dxfId="617" priority="3093">
      <formula>AND($H$16&gt;=1, $H$16&lt;&gt;"Please Select")</formula>
    </cfRule>
  </conditionalFormatting>
  <conditionalFormatting sqref="B43:F44">
    <cfRule type="expression" dxfId="616" priority="3096">
      <formula>AND($H$16&gt;=1, $H$16&lt;&gt;"Please Select")</formula>
    </cfRule>
  </conditionalFormatting>
  <conditionalFormatting sqref="B71:F71">
    <cfRule type="expression" dxfId="615" priority="18">
      <formula>AND($B$71&lt;&gt;"",$H$67=0)</formula>
    </cfRule>
  </conditionalFormatting>
  <conditionalFormatting sqref="B100:F100">
    <cfRule type="expression" dxfId="614" priority="2372">
      <formula>AND($H$67&gt;=1, $H$67&lt;&gt;"Please Select")</formula>
    </cfRule>
  </conditionalFormatting>
  <conditionalFormatting sqref="B29:H29">
    <cfRule type="expression" dxfId="610" priority="3103">
      <formula>AND($H$16&gt;=1, $H$16&lt;&gt;"Please Select")</formula>
    </cfRule>
  </conditionalFormatting>
  <conditionalFormatting sqref="B66:H66">
    <cfRule type="expression" dxfId="609" priority="16">
      <formula>$B$66&lt;&gt;""</formula>
    </cfRule>
  </conditionalFormatting>
  <conditionalFormatting sqref="B85:H85">
    <cfRule type="expression" dxfId="608" priority="2380">
      <formula>AND($H$67&gt;=1, $H$67&lt;&gt;"Please Select")</formula>
    </cfRule>
  </conditionalFormatting>
  <conditionalFormatting sqref="B141:H141">
    <cfRule type="expression" dxfId="607" priority="21">
      <formula>$B$141&lt;&gt;""</formula>
    </cfRule>
  </conditionalFormatting>
  <conditionalFormatting sqref="B153:H153">
    <cfRule type="expression" dxfId="606" priority="363">
      <formula>$B$153&lt;&gt;""</formula>
    </cfRule>
  </conditionalFormatting>
  <conditionalFormatting sqref="B183:H183">
    <cfRule type="expression" dxfId="605" priority="19">
      <formula>$B$183&lt;&gt;""</formula>
    </cfRule>
  </conditionalFormatting>
  <conditionalFormatting sqref="B25:I25">
    <cfRule type="expression" dxfId="604" priority="50">
      <formula>$B$25&lt;&gt;""</formula>
    </cfRule>
  </conditionalFormatting>
  <conditionalFormatting sqref="B27:I27">
    <cfRule type="expression" dxfId="603" priority="49">
      <formula>$B$27&lt;&gt;""</formula>
    </cfRule>
  </conditionalFormatting>
  <conditionalFormatting sqref="B80:I80">
    <cfRule type="expression" dxfId="602" priority="38">
      <formula>$B$80&lt;&gt;""</formula>
    </cfRule>
  </conditionalFormatting>
  <conditionalFormatting sqref="B82:I82">
    <cfRule type="expression" dxfId="601" priority="37">
      <formula>$B$82&lt;&gt;""</formula>
    </cfRule>
  </conditionalFormatting>
  <conditionalFormatting sqref="B55:J55">
    <cfRule type="expression" dxfId="600" priority="3092">
      <formula>AND($H$16&gt;=1, $H$16&lt;&gt;"Please Select")</formula>
    </cfRule>
  </conditionalFormatting>
  <conditionalFormatting sqref="B128:J128">
    <cfRule type="expression" dxfId="599" priority="2375">
      <formula>AND($H$67&gt;=1, $H$67&lt;&gt;"Please Select")</formula>
    </cfRule>
  </conditionalFormatting>
  <conditionalFormatting sqref="B168:J168">
    <cfRule type="expression" dxfId="598" priority="145">
      <formula>$B$168&lt;&gt;""</formula>
    </cfRule>
  </conditionalFormatting>
  <conditionalFormatting sqref="C34:D34">
    <cfRule type="expression" dxfId="597" priority="3101">
      <formula>AND($H$16&gt;=1, $H$16&lt;&gt;"Please Select")</formula>
    </cfRule>
  </conditionalFormatting>
  <conditionalFormatting sqref="C90:D90">
    <cfRule type="expression" dxfId="596" priority="2378">
      <formula>AND($H$67&gt;=1, $H$67&lt;&gt;"Please Select")</formula>
    </cfRule>
  </conditionalFormatting>
  <conditionalFormatting sqref="C158:D158">
    <cfRule type="expression" dxfId="595" priority="246">
      <formula>$B$153&lt;&gt;""</formula>
    </cfRule>
  </conditionalFormatting>
  <conditionalFormatting sqref="C48:E52">
    <cfRule type="expression" dxfId="594" priority="2383">
      <formula>AND($H$16&gt;=1, $H$16&lt;&gt;"Please Select")</formula>
    </cfRule>
  </conditionalFormatting>
  <conditionalFormatting sqref="C31:F33">
    <cfRule type="expression" dxfId="593" priority="3102">
      <formula>AND($H$16&gt;=1, $H$16&lt;&gt;"Please Select")</formula>
    </cfRule>
  </conditionalFormatting>
  <conditionalFormatting sqref="C45:F45">
    <cfRule type="expression" dxfId="592" priority="3094">
      <formula>AND($H$16&gt;=1, $H$16&lt;&gt;"Please Select")</formula>
    </cfRule>
  </conditionalFormatting>
  <conditionalFormatting sqref="C87:F89">
    <cfRule type="expression" dxfId="591" priority="2379">
      <formula>AND($H$67&gt;=1, $H$67&lt;&gt;"Please Select")</formula>
    </cfRule>
  </conditionalFormatting>
  <conditionalFormatting sqref="C155:F157">
    <cfRule type="expression" dxfId="590" priority="362">
      <formula>$B$153&lt;&gt;""</formula>
    </cfRule>
  </conditionalFormatting>
  <conditionalFormatting sqref="D35">
    <cfRule type="expression" dxfId="589" priority="3099">
      <formula>AND($H$16&gt;=1, $H$16&lt;&gt;"Please Select")</formula>
    </cfRule>
  </conditionalFormatting>
  <conditionalFormatting sqref="D91">
    <cfRule type="expression" dxfId="588" priority="2376">
      <formula>AND($H$67&gt;=1, $H$67&lt;&gt;"Please Select")</formula>
    </cfRule>
  </conditionalFormatting>
  <conditionalFormatting sqref="D159">
    <cfRule type="expression" dxfId="587" priority="360">
      <formula>$B$153&lt;&gt;""</formula>
    </cfRule>
  </conditionalFormatting>
  <conditionalFormatting sqref="D94:E94">
    <cfRule type="expression" dxfId="586" priority="215">
      <formula>$D$94="No"</formula>
    </cfRule>
  </conditionalFormatting>
  <conditionalFormatting sqref="D94:E95">
    <cfRule type="expression" dxfId="585" priority="368">
      <formula>AND($H$67&gt;=1, $H$67&lt;&gt;"Please Select")</formula>
    </cfRule>
  </conditionalFormatting>
  <conditionalFormatting sqref="D98:E98">
    <cfRule type="expression" dxfId="584" priority="457">
      <formula>AND($H$67&gt;=1, $H$67&lt;&gt;"Please Select")</formula>
    </cfRule>
  </conditionalFormatting>
  <conditionalFormatting sqref="D165:E165">
    <cfRule type="expression" dxfId="583" priority="256">
      <formula>$B$153&lt;&gt;""</formula>
    </cfRule>
  </conditionalFormatting>
  <conditionalFormatting sqref="D37:F37">
    <cfRule type="expression" dxfId="582" priority="3098">
      <formula>AND($H$16&gt;=1, $H$16&lt;&gt;"Please Select")</formula>
    </cfRule>
  </conditionalFormatting>
  <conditionalFormatting sqref="D161:F161">
    <cfRule type="expression" dxfId="581" priority="359">
      <formula>$B$153&lt;&gt;""</formula>
    </cfRule>
  </conditionalFormatting>
  <conditionalFormatting sqref="E101">
    <cfRule type="expression" dxfId="580" priority="2106">
      <formula>E$101="Pending"</formula>
    </cfRule>
  </conditionalFormatting>
  <conditionalFormatting sqref="E101:F125">
    <cfRule type="expression" dxfId="579" priority="2370">
      <formula>AND($H$67&gt;=1, $H$67&lt;&gt;"Please Select")</formula>
    </cfRule>
  </conditionalFormatting>
  <conditionalFormatting sqref="E102:F102">
    <cfRule type="expression" dxfId="578" priority="2104">
      <formula>E$102="Pending"</formula>
    </cfRule>
  </conditionalFormatting>
  <conditionalFormatting sqref="E103:F103">
    <cfRule type="expression" dxfId="577" priority="2102">
      <formula>E$103="Pending"</formula>
    </cfRule>
  </conditionalFormatting>
  <conditionalFormatting sqref="E104:F104">
    <cfRule type="expression" dxfId="576" priority="2100">
      <formula>E$104="Pending"</formula>
    </cfRule>
  </conditionalFormatting>
  <conditionalFormatting sqref="E105:F105">
    <cfRule type="expression" dxfId="575" priority="2098">
      <formula>E$105="Pending"</formula>
    </cfRule>
  </conditionalFormatting>
  <conditionalFormatting sqref="E106:F106">
    <cfRule type="expression" dxfId="574" priority="2096">
      <formula>E$106="Pending"</formula>
    </cfRule>
  </conditionalFormatting>
  <conditionalFormatting sqref="E107:F107">
    <cfRule type="expression" dxfId="573" priority="2094">
      <formula>E$107="Pending"</formula>
    </cfRule>
  </conditionalFormatting>
  <conditionalFormatting sqref="E108:F108">
    <cfRule type="expression" dxfId="572" priority="2092">
      <formula>E$108="Pending"</formula>
    </cfRule>
  </conditionalFormatting>
  <conditionalFormatting sqref="E109:F109">
    <cfRule type="expression" dxfId="571" priority="2090">
      <formula>E$109="Pending"</formula>
    </cfRule>
  </conditionalFormatting>
  <conditionalFormatting sqref="E110:F110">
    <cfRule type="expression" dxfId="570" priority="2088">
      <formula>E$110="Pending"</formula>
    </cfRule>
  </conditionalFormatting>
  <conditionalFormatting sqref="E111:F111">
    <cfRule type="expression" dxfId="569" priority="2086">
      <formula>E$111="Pending"</formula>
    </cfRule>
  </conditionalFormatting>
  <conditionalFormatting sqref="E112:F112">
    <cfRule type="expression" dxfId="568" priority="2084">
      <formula>E$112="Pending"</formula>
    </cfRule>
  </conditionalFormatting>
  <conditionalFormatting sqref="E113:F113">
    <cfRule type="expression" dxfId="567" priority="2082">
      <formula>E$113="Pending"</formula>
    </cfRule>
  </conditionalFormatting>
  <conditionalFormatting sqref="E114:F114">
    <cfRule type="expression" dxfId="566" priority="2080">
      <formula>E$114="Pending"</formula>
    </cfRule>
  </conditionalFormatting>
  <conditionalFormatting sqref="E115:F115">
    <cfRule type="expression" dxfId="565" priority="2078">
      <formula>E$115="Pending"</formula>
    </cfRule>
  </conditionalFormatting>
  <conditionalFormatting sqref="E116:F116">
    <cfRule type="expression" dxfId="564" priority="2076">
      <formula>E$116="Pending"</formula>
    </cfRule>
  </conditionalFormatting>
  <conditionalFormatting sqref="E117:F117">
    <cfRule type="expression" dxfId="563" priority="2074">
      <formula>E$117="Pending"</formula>
    </cfRule>
  </conditionalFormatting>
  <conditionalFormatting sqref="E118:F118">
    <cfRule type="expression" dxfId="562" priority="2072">
      <formula>E$118="Pending"</formula>
    </cfRule>
  </conditionalFormatting>
  <conditionalFormatting sqref="E119:F119">
    <cfRule type="expression" dxfId="561" priority="2070">
      <formula>E$119="Pending"</formula>
    </cfRule>
  </conditionalFormatting>
  <conditionalFormatting sqref="E120:F120">
    <cfRule type="expression" dxfId="560" priority="2068">
      <formula>E$120="Pending"</formula>
    </cfRule>
  </conditionalFormatting>
  <conditionalFormatting sqref="E121:F121">
    <cfRule type="expression" dxfId="559" priority="2066">
      <formula>E$121="Pending"</formula>
    </cfRule>
  </conditionalFormatting>
  <conditionalFormatting sqref="E122:F122">
    <cfRule type="expression" dxfId="558" priority="2064">
      <formula>E$122="Pending"</formula>
    </cfRule>
  </conditionalFormatting>
  <conditionalFormatting sqref="E123:F123">
    <cfRule type="expression" dxfId="557" priority="2062">
      <formula>E$123="Pending"</formula>
    </cfRule>
  </conditionalFormatting>
  <conditionalFormatting sqref="E124:F124">
    <cfRule type="expression" dxfId="556" priority="2060">
      <formula>E$124="Pending"</formula>
    </cfRule>
  </conditionalFormatting>
  <conditionalFormatting sqref="E125:F125">
    <cfRule type="expression" dxfId="555" priority="2058">
      <formula>E$125="Pending"</formula>
    </cfRule>
  </conditionalFormatting>
  <conditionalFormatting sqref="E56:J56 E59:J59">
    <cfRule type="expression" dxfId="554" priority="3090">
      <formula>AND($H$16&gt;=1, $H$16&lt;&gt;"Please Select")</formula>
    </cfRule>
  </conditionalFormatting>
  <conditionalFormatting sqref="E57:J58">
    <cfRule type="expression" dxfId="553" priority="115">
      <formula>$E$57&lt;&gt;""</formula>
    </cfRule>
  </conditionalFormatting>
  <conditionalFormatting sqref="E129:J129 E132:J132">
    <cfRule type="expression" dxfId="552" priority="2374">
      <formula>AND($H$67&gt;=1, $H$67&lt;&gt;"Please Select")</formula>
    </cfRule>
  </conditionalFormatting>
  <conditionalFormatting sqref="E130:J131">
    <cfRule type="expression" dxfId="551" priority="56">
      <formula>$E$130&lt;&gt;""</formula>
    </cfRule>
  </conditionalFormatting>
  <conditionalFormatting sqref="E169:J172">
    <cfRule type="expression" dxfId="550" priority="144">
      <formula>$E$169&lt;&gt;""</formula>
    </cfRule>
  </conditionalFormatting>
  <conditionalFormatting sqref="F34">
    <cfRule type="expression" dxfId="549" priority="3100">
      <formula>AND($H$16&gt;=1, $H$16&lt;&gt;"Please Select")</formula>
    </cfRule>
  </conditionalFormatting>
  <conditionalFormatting sqref="F38">
    <cfRule type="expression" dxfId="548" priority="3097">
      <formula>AND($H$16&gt;=1, $H$16&lt;&gt;"Please Select")</formula>
    </cfRule>
    <cfRule type="expression" dxfId="547" priority="245">
      <formula>$F$38="Pending"</formula>
    </cfRule>
  </conditionalFormatting>
  <conditionalFormatting sqref="F39">
    <cfRule type="expression" dxfId="546" priority="3091">
      <formula>$F$38&lt;&gt;""</formula>
    </cfRule>
  </conditionalFormatting>
  <conditionalFormatting sqref="F90">
    <cfRule type="expression" dxfId="545" priority="2377">
      <formula>AND($H$67&gt;=1, $H$67&lt;&gt;"Please Select")</formula>
    </cfRule>
  </conditionalFormatting>
  <conditionalFormatting sqref="F158">
    <cfRule type="expression" dxfId="544" priority="361">
      <formula>$B$153&lt;&gt;""</formula>
    </cfRule>
  </conditionalFormatting>
  <conditionalFormatting sqref="F162">
    <cfRule type="expression" dxfId="543" priority="358">
      <formula>$B$153&lt;&gt;""</formula>
    </cfRule>
    <cfRule type="expression" dxfId="542" priority="157">
      <formula>$F$162="Pending"</formula>
    </cfRule>
  </conditionalFormatting>
  <conditionalFormatting sqref="F163">
    <cfRule type="expression" dxfId="541" priority="357">
      <formula>F$162&lt;&gt;""</formula>
    </cfRule>
  </conditionalFormatting>
  <conditionalFormatting sqref="G100:H100">
    <cfRule type="expression" dxfId="540" priority="2107">
      <formula>G$100&lt;&gt;""</formula>
    </cfRule>
  </conditionalFormatting>
  <conditionalFormatting sqref="G101:H101">
    <cfRule type="expression" dxfId="539" priority="2105">
      <formula>E$101="Pending"</formula>
    </cfRule>
  </conditionalFormatting>
  <conditionalFormatting sqref="G102:H102">
    <cfRule type="expression" dxfId="538" priority="2103">
      <formula>E$102="Pending"</formula>
    </cfRule>
  </conditionalFormatting>
  <conditionalFormatting sqref="G103:H103">
    <cfRule type="expression" dxfId="537" priority="2101">
      <formula>E$103="Pending"</formula>
    </cfRule>
  </conditionalFormatting>
  <conditionalFormatting sqref="G104:H104">
    <cfRule type="expression" dxfId="536" priority="2099">
      <formula>E$104="Pending"</formula>
    </cfRule>
  </conditionalFormatting>
  <conditionalFormatting sqref="G105:H105">
    <cfRule type="expression" dxfId="535" priority="2097">
      <formula>E$105="Pending"</formula>
    </cfRule>
  </conditionalFormatting>
  <conditionalFormatting sqref="G106:H106">
    <cfRule type="expression" dxfId="534" priority="2095">
      <formula>E$106="Pending"</formula>
    </cfRule>
  </conditionalFormatting>
  <conditionalFormatting sqref="G107:H107">
    <cfRule type="expression" dxfId="533" priority="2093">
      <formula>E$107="Pending"</formula>
    </cfRule>
  </conditionalFormatting>
  <conditionalFormatting sqref="G108:H108">
    <cfRule type="expression" dxfId="532" priority="2091">
      <formula>E$108="Pending"</formula>
    </cfRule>
  </conditionalFormatting>
  <conditionalFormatting sqref="G109:H109">
    <cfRule type="expression" dxfId="531" priority="2089">
      <formula>E$109="Pending"</formula>
    </cfRule>
  </conditionalFormatting>
  <conditionalFormatting sqref="G110:H110">
    <cfRule type="expression" dxfId="530" priority="2087">
      <formula>E$110="Pending"</formula>
    </cfRule>
  </conditionalFormatting>
  <conditionalFormatting sqref="G111:H111">
    <cfRule type="expression" dxfId="529" priority="2085">
      <formula>E$111="Pending"</formula>
    </cfRule>
  </conditionalFormatting>
  <conditionalFormatting sqref="G112:H112">
    <cfRule type="expression" dxfId="528" priority="2083">
      <formula>E$112="Pending"</formula>
    </cfRule>
  </conditionalFormatting>
  <conditionalFormatting sqref="G113:H113">
    <cfRule type="expression" dxfId="527" priority="2081">
      <formula>E$113="Pending"</formula>
    </cfRule>
  </conditionalFormatting>
  <conditionalFormatting sqref="G114:H114">
    <cfRule type="expression" dxfId="526" priority="2079">
      <formula>E$114="Pending"</formula>
    </cfRule>
  </conditionalFormatting>
  <conditionalFormatting sqref="G115:H115">
    <cfRule type="expression" dxfId="525" priority="2077">
      <formula>E$115="Pending"</formula>
    </cfRule>
  </conditionalFormatting>
  <conditionalFormatting sqref="G116:H116">
    <cfRule type="expression" dxfId="524" priority="2075">
      <formula>E$116="Pending"</formula>
    </cfRule>
  </conditionalFormatting>
  <conditionalFormatting sqref="G117:H117">
    <cfRule type="expression" dxfId="523" priority="2073">
      <formula>E$117="Pending"</formula>
    </cfRule>
  </conditionalFormatting>
  <conditionalFormatting sqref="G118:H118">
    <cfRule type="expression" dxfId="522" priority="2071">
      <formula>E$118="Pending"</formula>
    </cfRule>
  </conditionalFormatting>
  <conditionalFormatting sqref="G119:H119">
    <cfRule type="expression" dxfId="521" priority="2069">
      <formula>E$119="Pending"</formula>
    </cfRule>
  </conditionalFormatting>
  <conditionalFormatting sqref="G120:H120">
    <cfRule type="expression" dxfId="520" priority="2067">
      <formula>E$120="Pending"</formula>
    </cfRule>
  </conditionalFormatting>
  <conditionalFormatting sqref="G121:H121">
    <cfRule type="expression" dxfId="519" priority="2065">
      <formula>E$121="Pending"</formula>
    </cfRule>
  </conditionalFormatting>
  <conditionalFormatting sqref="G122:H122">
    <cfRule type="expression" dxfId="518" priority="2063">
      <formula>E$122="Pending"</formula>
    </cfRule>
  </conditionalFormatting>
  <conditionalFormatting sqref="G123:H123">
    <cfRule type="expression" dxfId="517" priority="2061">
      <formula>E$123="Pending"</formula>
    </cfRule>
  </conditionalFormatting>
  <conditionalFormatting sqref="G124:H124">
    <cfRule type="expression" dxfId="516" priority="2059">
      <formula>E$124="Pending"</formula>
    </cfRule>
  </conditionalFormatting>
  <conditionalFormatting sqref="G125:H125">
    <cfRule type="expression" dxfId="515" priority="2057">
      <formula>E$125="Pending"</formula>
    </cfRule>
  </conditionalFormatting>
  <conditionalFormatting sqref="H16">
    <cfRule type="expression" dxfId="514" priority="54">
      <formula>$B$16&lt;&gt;""</formula>
    </cfRule>
  </conditionalFormatting>
  <conditionalFormatting sqref="H18">
    <cfRule type="expression" dxfId="513" priority="53">
      <formula>AND($B$18&lt;&gt;"",$H$16&gt;=1)</formula>
    </cfRule>
  </conditionalFormatting>
  <conditionalFormatting sqref="H20">
    <cfRule type="expression" dxfId="512" priority="52">
      <formula>AND($H$16&lt;&gt;0,$B$20&lt;&gt;"")</formula>
    </cfRule>
  </conditionalFormatting>
  <conditionalFormatting sqref="H23">
    <cfRule type="expression" dxfId="511" priority="51">
      <formula>$B$23&lt;&gt;""</formula>
    </cfRule>
  </conditionalFormatting>
  <conditionalFormatting sqref="H67">
    <cfRule type="expression" dxfId="510" priority="42">
      <formula>$B$67&lt;&gt;""</formula>
    </cfRule>
  </conditionalFormatting>
  <conditionalFormatting sqref="H69">
    <cfRule type="expression" dxfId="509" priority="41">
      <formula>$B$69&lt;&gt;""</formula>
    </cfRule>
  </conditionalFormatting>
  <conditionalFormatting sqref="H71">
    <cfRule type="expression" dxfId="508" priority="40">
      <formula>AND($B$67&lt;&gt;"",$H$67&lt;&gt;0)</formula>
    </cfRule>
  </conditionalFormatting>
  <conditionalFormatting sqref="H73">
    <cfRule type="expression" dxfId="507" priority="23">
      <formula>$B$73&lt;&gt;""</formula>
    </cfRule>
  </conditionalFormatting>
  <conditionalFormatting sqref="H76">
    <cfRule type="expression" dxfId="506" priority="22">
      <formula>$B$76&lt;&gt;""</formula>
    </cfRule>
  </conditionalFormatting>
  <conditionalFormatting sqref="H78">
    <cfRule type="expression" dxfId="505" priority="39">
      <formula>$B$78&lt;&gt;""</formula>
    </cfRule>
  </conditionalFormatting>
  <conditionalFormatting sqref="H143">
    <cfRule type="expression" dxfId="504" priority="30">
      <formula>$B$143&lt;&gt;""</formula>
    </cfRule>
  </conditionalFormatting>
  <conditionalFormatting sqref="H145">
    <cfRule type="expression" dxfId="503" priority="365">
      <formula>AND($H$143="Yes",$B$145&lt;&gt;"")</formula>
    </cfRule>
  </conditionalFormatting>
  <conditionalFormatting sqref="H147">
    <cfRule type="expression" dxfId="502" priority="29">
      <formula>$B$147&lt;&gt;""</formula>
    </cfRule>
  </conditionalFormatting>
  <conditionalFormatting sqref="H149">
    <cfRule type="expression" dxfId="501" priority="28">
      <formula>$B$149&lt;&gt;""</formula>
    </cfRule>
  </conditionalFormatting>
  <conditionalFormatting sqref="H151">
    <cfRule type="expression" dxfId="500" priority="55">
      <formula>$B$151&lt;&gt;""</formula>
    </cfRule>
  </conditionalFormatting>
  <conditionalFormatting sqref="I31:L32">
    <cfRule type="expression" dxfId="499" priority="3104">
      <formula>$I$31&lt;&gt;""</formula>
    </cfRule>
  </conditionalFormatting>
  <conditionalFormatting sqref="I87:L88">
    <cfRule type="expression" dxfId="498" priority="2381">
      <formula>$I$87&lt;&gt;""</formula>
    </cfRule>
  </conditionalFormatting>
  <conditionalFormatting sqref="I155:L156">
    <cfRule type="expression" dxfId="497" priority="364">
      <formula>I155&lt;&gt;""</formula>
    </cfRule>
  </conditionalFormatting>
  <conditionalFormatting sqref="K59:N59">
    <cfRule type="expression" dxfId="496" priority="398">
      <formula>K59&lt;&gt;""</formula>
    </cfRule>
  </conditionalFormatting>
  <conditionalFormatting sqref="K132:N132">
    <cfRule type="expression" dxfId="495" priority="396">
      <formula>K132&lt;&gt;""</formula>
    </cfRule>
  </conditionalFormatting>
  <conditionalFormatting sqref="K172:N172">
    <cfRule type="expression" dxfId="494" priority="124">
      <formula>K172&lt;&gt;""</formula>
    </cfRule>
  </conditionalFormatting>
  <conditionalFormatting sqref="O45">
    <cfRule type="expression" dxfId="493" priority="3081">
      <formula>AND($H$16&gt;=2, $H$16&lt;&gt;"Please Select")</formula>
    </cfRule>
  </conditionalFormatting>
  <conditionalFormatting sqref="O48:O52">
    <cfRule type="expression" dxfId="492" priority="2386">
      <formula>AND($H$16&gt;=2, $H$16&lt;&gt;"Please Select")</formula>
    </cfRule>
  </conditionalFormatting>
  <conditionalFormatting sqref="O99">
    <cfRule type="expression" dxfId="491" priority="2053">
      <formula>AND($H$67&gt;=2, $H$67&lt;&gt;"Please Select")</formula>
    </cfRule>
  </conditionalFormatting>
  <conditionalFormatting sqref="O101:Q125">
    <cfRule type="expression" dxfId="490" priority="2055">
      <formula>AND($H$67&gt;=2, $H$67&lt;&gt;"Please Select")</formula>
    </cfRule>
  </conditionalFormatting>
  <conditionalFormatting sqref="O47:R47">
    <cfRule type="expression" dxfId="489" priority="3080">
      <formula>AND($H$16&gt;=2, $H$16&lt;&gt;"Please Select")</formula>
    </cfRule>
  </conditionalFormatting>
  <conditionalFormatting sqref="O43:S44">
    <cfRule type="expression" dxfId="488" priority="3082">
      <formula>AND($H$16&gt;=2, $H$16&lt;&gt;"Please Select")</formula>
    </cfRule>
  </conditionalFormatting>
  <conditionalFormatting sqref="O100:S100">
    <cfRule type="expression" dxfId="487" priority="2056">
      <formula>AND($H$67&gt;=2, $H$67&lt;&gt;"Please Select")</formula>
    </cfRule>
  </conditionalFormatting>
  <conditionalFormatting sqref="O29:U29">
    <cfRule type="expression" dxfId="486" priority="3088">
      <formula>AND($H$16&gt;=2, $H$16&lt;&gt;"Please Select")</formula>
    </cfRule>
  </conditionalFormatting>
  <conditionalFormatting sqref="O85:U85">
    <cfRule type="expression" dxfId="485" priority="2367">
      <formula>AND($H$67&gt;=2, $H$67&lt;&gt;"Please Select")</formula>
    </cfRule>
  </conditionalFormatting>
  <conditionalFormatting sqref="O153:U153">
    <cfRule type="expression" dxfId="484" priority="355">
      <formula>$O$153&lt;&gt;""</formula>
    </cfRule>
  </conditionalFormatting>
  <conditionalFormatting sqref="O55:W55">
    <cfRule type="expression" dxfId="483" priority="2451">
      <formula>AND($H$16&gt;=2, $H$16&lt;&gt;"Please Select")</formula>
    </cfRule>
  </conditionalFormatting>
  <conditionalFormatting sqref="O128:W128">
    <cfRule type="expression" dxfId="482" priority="2362">
      <formula>AND($H$67&gt;=2, $H$67&lt;&gt;"Please Select")</formula>
    </cfRule>
  </conditionalFormatting>
  <conditionalFormatting sqref="O168:W168">
    <cfRule type="expression" dxfId="481" priority="143">
      <formula>$O$168&lt;&gt;""</formula>
    </cfRule>
  </conditionalFormatting>
  <conditionalFormatting sqref="O62:AA63">
    <cfRule type="expression" dxfId="480" priority="44">
      <formula>$H$16&gt;=2</formula>
    </cfRule>
  </conditionalFormatting>
  <conditionalFormatting sqref="O137:AA138">
    <cfRule type="expression" dxfId="479" priority="11">
      <formula>$H67&gt;=2</formula>
    </cfRule>
  </conditionalFormatting>
  <conditionalFormatting sqref="P34:Q34">
    <cfRule type="expression" dxfId="478" priority="3087">
      <formula>AND($H$16&gt;=2, $H$16&lt;&gt;"Please Select")</formula>
    </cfRule>
  </conditionalFormatting>
  <conditionalFormatting sqref="P90:Q90">
    <cfRule type="expression" dxfId="477" priority="2365">
      <formula>AND($H$67&gt;=2, $H$67&lt;&gt;"Please Select")</formula>
    </cfRule>
  </conditionalFormatting>
  <conditionalFormatting sqref="P158:Q158">
    <cfRule type="expression" dxfId="476" priority="354">
      <formula>$O$153&lt;&gt;""</formula>
    </cfRule>
  </conditionalFormatting>
  <conditionalFormatting sqref="P48:R52">
    <cfRule type="expression" dxfId="475" priority="2385">
      <formula>AND($H$16&gt;=2, $H$16&lt;&gt;"Please Select")</formula>
    </cfRule>
  </conditionalFormatting>
  <conditionalFormatting sqref="P31:S33">
    <cfRule type="expression" dxfId="474" priority="2388">
      <formula>AND($H$16&gt;=2, $H$16&lt;&gt;"Please Select")</formula>
    </cfRule>
  </conditionalFormatting>
  <conditionalFormatting sqref="P45:S45">
    <cfRule type="expression" dxfId="473" priority="2387">
      <formula>AND($H$16&gt;=2, $H$16&lt;&gt;"Please Select")</formula>
    </cfRule>
  </conditionalFormatting>
  <conditionalFormatting sqref="P87:S89">
    <cfRule type="expression" dxfId="472" priority="2366">
      <formula>AND($H$67&gt;=2, $H$67&lt;&gt;"Please Select")</formula>
    </cfRule>
  </conditionalFormatting>
  <conditionalFormatting sqref="P155:S157">
    <cfRule type="expression" dxfId="471" priority="257">
      <formula>$O$153&lt;&gt;""</formula>
    </cfRule>
  </conditionalFormatting>
  <conditionalFormatting sqref="Q35">
    <cfRule type="expression" dxfId="470" priority="3085">
      <formula>AND($H$16&gt;=2, $H$16&lt;&gt;"Please Select")</formula>
    </cfRule>
  </conditionalFormatting>
  <conditionalFormatting sqref="Q91">
    <cfRule type="expression" dxfId="469" priority="2363">
      <formula>AND($H$67&gt;=2, $H$67&lt;&gt;"Please Select")</formula>
    </cfRule>
  </conditionalFormatting>
  <conditionalFormatting sqref="Q159">
    <cfRule type="expression" dxfId="468" priority="352">
      <formula>$O$153&lt;&gt;""</formula>
    </cfRule>
  </conditionalFormatting>
  <conditionalFormatting sqref="Q94:R94">
    <cfRule type="expression" dxfId="467" priority="214">
      <formula>$Q$94="No"</formula>
    </cfRule>
  </conditionalFormatting>
  <conditionalFormatting sqref="Q94:R95">
    <cfRule type="expression" dxfId="466" priority="367">
      <formula>AND($H$67&gt;=2, $H$67&lt;&gt;"Please Select")</formula>
    </cfRule>
  </conditionalFormatting>
  <conditionalFormatting sqref="Q98:R98">
    <cfRule type="expression" dxfId="465" priority="428">
      <formula>AND($H$67&gt;=2, $H$67&lt;&gt;"Please Select")</formula>
    </cfRule>
  </conditionalFormatting>
  <conditionalFormatting sqref="Q165:R165">
    <cfRule type="expression" dxfId="464" priority="255">
      <formula>$O$153&lt;&gt;""</formula>
    </cfRule>
  </conditionalFormatting>
  <conditionalFormatting sqref="Q37:S37">
    <cfRule type="expression" dxfId="463" priority="3084">
      <formula>AND($H$16&gt;=2, $H$16&lt;&gt;"Please Select")</formula>
    </cfRule>
  </conditionalFormatting>
  <conditionalFormatting sqref="Q161:S161">
    <cfRule type="expression" dxfId="462" priority="351">
      <formula>$O$153&lt;&gt;""</formula>
    </cfRule>
  </conditionalFormatting>
  <conditionalFormatting sqref="R101">
    <cfRule type="expression" dxfId="461" priority="2051">
      <formula>R$101="Pending"</formula>
    </cfRule>
  </conditionalFormatting>
  <conditionalFormatting sqref="R101:S125">
    <cfRule type="expression" dxfId="460" priority="2054">
      <formula>AND($H$67&gt;=2, $H$67&lt;&gt;"Please Select")</formula>
    </cfRule>
  </conditionalFormatting>
  <conditionalFormatting sqref="R102:S102">
    <cfRule type="expression" dxfId="459" priority="2049">
      <formula>R$102="Pending"</formula>
    </cfRule>
  </conditionalFormatting>
  <conditionalFormatting sqref="R103:S103">
    <cfRule type="expression" dxfId="458" priority="2047">
      <formula>R$103="Pending"</formula>
    </cfRule>
  </conditionalFormatting>
  <conditionalFormatting sqref="R104:S104">
    <cfRule type="expression" dxfId="457" priority="2045">
      <formula>R$104="Pending"</formula>
    </cfRule>
  </conditionalFormatting>
  <conditionalFormatting sqref="R105:S105">
    <cfRule type="expression" dxfId="456" priority="2043">
      <formula>R$105="Pending"</formula>
    </cfRule>
  </conditionalFormatting>
  <conditionalFormatting sqref="R106:S106">
    <cfRule type="expression" dxfId="455" priority="2041">
      <formula>R$106="Pending"</formula>
    </cfRule>
  </conditionalFormatting>
  <conditionalFormatting sqref="R107:S107">
    <cfRule type="expression" dxfId="454" priority="2039">
      <formula>R$107="Pending"</formula>
    </cfRule>
  </conditionalFormatting>
  <conditionalFormatting sqref="R108:S108">
    <cfRule type="expression" dxfId="453" priority="2037">
      <formula>R$108="Pending"</formula>
    </cfRule>
  </conditionalFormatting>
  <conditionalFormatting sqref="R109:S109">
    <cfRule type="expression" dxfId="452" priority="2035">
      <formula>R$109="Pending"</formula>
    </cfRule>
  </conditionalFormatting>
  <conditionalFormatting sqref="R110:S110">
    <cfRule type="expression" dxfId="451" priority="2033">
      <formula>R$110="Pending"</formula>
    </cfRule>
  </conditionalFormatting>
  <conditionalFormatting sqref="R111:S111">
    <cfRule type="expression" dxfId="450" priority="2031">
      <formula>R$111="Pending"</formula>
    </cfRule>
  </conditionalFormatting>
  <conditionalFormatting sqref="R112:S112">
    <cfRule type="expression" dxfId="449" priority="2029">
      <formula>R$112="Pending"</formula>
    </cfRule>
  </conditionalFormatting>
  <conditionalFormatting sqref="R113:S113">
    <cfRule type="expression" dxfId="448" priority="2027">
      <formula>R$113="Pending"</formula>
    </cfRule>
  </conditionalFormatting>
  <conditionalFormatting sqref="R114:S114">
    <cfRule type="expression" dxfId="447" priority="2025">
      <formula>R$114="Pending"</formula>
    </cfRule>
  </conditionalFormatting>
  <conditionalFormatting sqref="R115:S115">
    <cfRule type="expression" dxfId="446" priority="2023">
      <formula>R$115="Pending"</formula>
    </cfRule>
  </conditionalFormatting>
  <conditionalFormatting sqref="R116:S116">
    <cfRule type="expression" dxfId="445" priority="2021">
      <formula>R$116="Pending"</formula>
    </cfRule>
  </conditionalFormatting>
  <conditionalFormatting sqref="R117:S117">
    <cfRule type="expression" dxfId="444" priority="2019">
      <formula>R$117="Pending"</formula>
    </cfRule>
  </conditionalFormatting>
  <conditionalFormatting sqref="R118:S118">
    <cfRule type="expression" dxfId="443" priority="2017">
      <formula>R$118="Pending"</formula>
    </cfRule>
  </conditionalFormatting>
  <conditionalFormatting sqref="R119:S119">
    <cfRule type="expression" dxfId="442" priority="2015">
      <formula>R$119="Pending"</formula>
    </cfRule>
  </conditionalFormatting>
  <conditionalFormatting sqref="R120:S120">
    <cfRule type="expression" dxfId="441" priority="2013">
      <formula>R$120="Pending"</formula>
    </cfRule>
  </conditionalFormatting>
  <conditionalFormatting sqref="R121:S121">
    <cfRule type="expression" dxfId="440" priority="2011">
      <formula>R$121="Pending"</formula>
    </cfRule>
  </conditionalFormatting>
  <conditionalFormatting sqref="R122:S122">
    <cfRule type="expression" dxfId="439" priority="2009">
      <formula>R$122="Pending"</formula>
    </cfRule>
  </conditionalFormatting>
  <conditionalFormatting sqref="R123:S123">
    <cfRule type="expression" dxfId="438" priority="2007">
      <formula>R$123="Pending"</formula>
    </cfRule>
  </conditionalFormatting>
  <conditionalFormatting sqref="R124:S124">
    <cfRule type="expression" dxfId="437" priority="2005">
      <formula>R$124="Pending"</formula>
    </cfRule>
  </conditionalFormatting>
  <conditionalFormatting sqref="R125:S125">
    <cfRule type="expression" dxfId="436" priority="2003">
      <formula>R$125="Pending"</formula>
    </cfRule>
  </conditionalFormatting>
  <conditionalFormatting sqref="R56:W56 R59:W59">
    <cfRule type="expression" dxfId="435" priority="3078">
      <formula>AND($H$16&gt;=2, $H$16&lt;&gt;"Please Select")</formula>
    </cfRule>
  </conditionalFormatting>
  <conditionalFormatting sqref="R57:W58">
    <cfRule type="expression" dxfId="434" priority="86">
      <formula>$R$57&lt;&gt;""</formula>
    </cfRule>
  </conditionalFormatting>
  <conditionalFormatting sqref="R129:W129 R132:W132">
    <cfRule type="expression" dxfId="433" priority="2361">
      <formula>AND($H$67&gt;=2, $H$67&lt;&gt;"Please Select")</formula>
    </cfRule>
  </conditionalFormatting>
  <conditionalFormatting sqref="R130:W131">
    <cfRule type="expression" dxfId="432" priority="57">
      <formula>$R$130&lt;&gt;""</formula>
    </cfRule>
  </conditionalFormatting>
  <conditionalFormatting sqref="R169:W172">
    <cfRule type="expression" dxfId="431" priority="142">
      <formula>$R$169&lt;&gt;""</formula>
    </cfRule>
  </conditionalFormatting>
  <conditionalFormatting sqref="S34">
    <cfRule type="expression" dxfId="430" priority="3086">
      <formula>AND($H$16&gt;=2, $H$16&lt;&gt;"Please Select")</formula>
    </cfRule>
  </conditionalFormatting>
  <conditionalFormatting sqref="S38">
    <cfRule type="expression" dxfId="429" priority="244">
      <formula>$S$38="Pending"</formula>
    </cfRule>
    <cfRule type="expression" dxfId="428" priority="3083">
      <formula>AND($H$16&gt;=2, $H$16&lt;&gt;"Please Select")</formula>
    </cfRule>
  </conditionalFormatting>
  <conditionalFormatting sqref="S39">
    <cfRule type="expression" dxfId="427" priority="3079">
      <formula>S$38&lt;&gt;""</formula>
    </cfRule>
  </conditionalFormatting>
  <conditionalFormatting sqref="S90">
    <cfRule type="expression" dxfId="426" priority="2364">
      <formula>AND($H$67&gt;=2, $H$67&lt;&gt;"Please Select")</formula>
    </cfRule>
  </conditionalFormatting>
  <conditionalFormatting sqref="S158">
    <cfRule type="expression" dxfId="425" priority="353">
      <formula>$O$153&lt;&gt;""</formula>
    </cfRule>
  </conditionalFormatting>
  <conditionalFormatting sqref="S162">
    <cfRule type="expression" dxfId="424" priority="156">
      <formula>$S$162="Pending"</formula>
    </cfRule>
    <cfRule type="expression" dxfId="423" priority="350">
      <formula>$O$153&lt;&gt;""</formula>
    </cfRule>
  </conditionalFormatting>
  <conditionalFormatting sqref="S163">
    <cfRule type="expression" dxfId="422" priority="349">
      <formula>$S$162&lt;&gt;""</formula>
    </cfRule>
  </conditionalFormatting>
  <conditionalFormatting sqref="T4">
    <cfRule type="expression" dxfId="421" priority="9">
      <formula>S4&lt;&gt;""</formula>
    </cfRule>
  </conditionalFormatting>
  <conditionalFormatting sqref="T100:U100">
    <cfRule type="expression" dxfId="420" priority="2052">
      <formula>T$100&lt;&gt;""</formula>
    </cfRule>
  </conditionalFormatting>
  <conditionalFormatting sqref="T101:U101">
    <cfRule type="expression" dxfId="419" priority="2050">
      <formula>R$101="Pending"</formula>
    </cfRule>
  </conditionalFormatting>
  <conditionalFormatting sqref="T102:U102">
    <cfRule type="expression" dxfId="418" priority="2048">
      <formula>R$102="Pending"</formula>
    </cfRule>
  </conditionalFormatting>
  <conditionalFormatting sqref="T103:U103">
    <cfRule type="expression" dxfId="417" priority="2046">
      <formula>R$103="Pending"</formula>
    </cfRule>
  </conditionalFormatting>
  <conditionalFormatting sqref="T104:U104">
    <cfRule type="expression" dxfId="416" priority="2044">
      <formula>R$104="Pending"</formula>
    </cfRule>
  </conditionalFormatting>
  <conditionalFormatting sqref="T105:U105">
    <cfRule type="expression" dxfId="415" priority="2042">
      <formula>R$105="Pending"</formula>
    </cfRule>
  </conditionalFormatting>
  <conditionalFormatting sqref="T106:U106">
    <cfRule type="expression" dxfId="414" priority="2040">
      <formula>R$106="Pending"</formula>
    </cfRule>
  </conditionalFormatting>
  <conditionalFormatting sqref="T107:U107">
    <cfRule type="expression" dxfId="413" priority="2038">
      <formula>R$107="Pending"</formula>
    </cfRule>
  </conditionalFormatting>
  <conditionalFormatting sqref="T108:U108">
    <cfRule type="expression" dxfId="412" priority="2036">
      <formula>R$108="Pending"</formula>
    </cfRule>
  </conditionalFormatting>
  <conditionalFormatting sqref="T109:U109">
    <cfRule type="expression" dxfId="411" priority="2034">
      <formula>R$109="Pending"</formula>
    </cfRule>
  </conditionalFormatting>
  <conditionalFormatting sqref="T110:U110">
    <cfRule type="expression" dxfId="410" priority="2032">
      <formula>R$110="Pending"</formula>
    </cfRule>
  </conditionalFormatting>
  <conditionalFormatting sqref="T111:U111">
    <cfRule type="expression" dxfId="409" priority="2030">
      <formula>R$111="Pending"</formula>
    </cfRule>
  </conditionalFormatting>
  <conditionalFormatting sqref="T112:U112">
    <cfRule type="expression" dxfId="408" priority="2028">
      <formula>R$112="Pending"</formula>
    </cfRule>
  </conditionalFormatting>
  <conditionalFormatting sqref="T113:U113">
    <cfRule type="expression" dxfId="407" priority="2026">
      <formula>R$113="Pending"</formula>
    </cfRule>
  </conditionalFormatting>
  <conditionalFormatting sqref="T114:U114">
    <cfRule type="expression" dxfId="406" priority="2024">
      <formula>R$114="Pending"</formula>
    </cfRule>
  </conditionalFormatting>
  <conditionalFormatting sqref="T115:U115">
    <cfRule type="expression" dxfId="405" priority="2022">
      <formula>R$115="Pending"</formula>
    </cfRule>
  </conditionalFormatting>
  <conditionalFormatting sqref="T116:U116">
    <cfRule type="expression" dxfId="404" priority="2020">
      <formula>R$116="Pending"</formula>
    </cfRule>
  </conditionalFormatting>
  <conditionalFormatting sqref="T117:U117">
    <cfRule type="expression" dxfId="403" priority="2018">
      <formula>R$117="Pending"</formula>
    </cfRule>
  </conditionalFormatting>
  <conditionalFormatting sqref="T118:U118">
    <cfRule type="expression" dxfId="402" priority="2016">
      <formula>R$118="Pending"</formula>
    </cfRule>
  </conditionalFormatting>
  <conditionalFormatting sqref="T119:U119">
    <cfRule type="expression" dxfId="401" priority="2014">
      <formula>R$119="Pending"</formula>
    </cfRule>
  </conditionalFormatting>
  <conditionalFormatting sqref="T120:U120">
    <cfRule type="expression" dxfId="400" priority="2012">
      <formula>R$120="Pending"</formula>
    </cfRule>
  </conditionalFormatting>
  <conditionalFormatting sqref="T121:U121">
    <cfRule type="expression" dxfId="399" priority="2010">
      <formula>R$121="Pending"</formula>
    </cfRule>
  </conditionalFormatting>
  <conditionalFormatting sqref="T122:U122">
    <cfRule type="expression" dxfId="398" priority="2008">
      <formula>R$122="Pending"</formula>
    </cfRule>
  </conditionalFormatting>
  <conditionalFormatting sqref="T123:U123">
    <cfRule type="expression" dxfId="397" priority="2006">
      <formula>R$123="Pending"</formula>
    </cfRule>
  </conditionalFormatting>
  <conditionalFormatting sqref="T124:U124">
    <cfRule type="expression" dxfId="396" priority="2004">
      <formula>R$124="Pending"</formula>
    </cfRule>
  </conditionalFormatting>
  <conditionalFormatting sqref="T125:U125">
    <cfRule type="expression" dxfId="395" priority="2002">
      <formula>R$125="Pending"</formula>
    </cfRule>
  </conditionalFormatting>
  <conditionalFormatting sqref="V31:Y32">
    <cfRule type="expression" dxfId="394" priority="3089">
      <formula>V31&lt;&gt;""</formula>
    </cfRule>
  </conditionalFormatting>
  <conditionalFormatting sqref="V87:Y88">
    <cfRule type="expression" dxfId="393" priority="2368">
      <formula>V$87&lt;&gt;""</formula>
    </cfRule>
  </conditionalFormatting>
  <conditionalFormatting sqref="V155:Y156">
    <cfRule type="expression" dxfId="392" priority="356">
      <formula>V155&lt;&gt;""</formula>
    </cfRule>
  </conditionalFormatting>
  <conditionalFormatting sqref="X59:AA59">
    <cfRule type="expression" dxfId="391" priority="399">
      <formula>X59&lt;&gt;""</formula>
    </cfRule>
  </conditionalFormatting>
  <conditionalFormatting sqref="X132:AA132">
    <cfRule type="expression" dxfId="390" priority="397">
      <formula>X132&lt;&gt;""</formula>
    </cfRule>
  </conditionalFormatting>
  <conditionalFormatting sqref="X172:AA172">
    <cfRule type="expression" dxfId="389" priority="125">
      <formula>X172&lt;&gt;""</formula>
    </cfRule>
  </conditionalFormatting>
  <conditionalFormatting sqref="AB45">
    <cfRule type="expression" dxfId="388" priority="3070">
      <formula>AND($H$16&gt;=3, $H$16&lt;&gt;"Please Select")</formula>
    </cfRule>
  </conditionalFormatting>
  <conditionalFormatting sqref="AB48:AB52">
    <cfRule type="expression" dxfId="387" priority="2390">
      <formula>AND($H$16&gt;=3, $H$16&lt;&gt;"Please Select")</formula>
    </cfRule>
  </conditionalFormatting>
  <conditionalFormatting sqref="AB99">
    <cfRule type="expression" dxfId="386" priority="1998">
      <formula>AND($H$67&gt;=3, $H$67&lt;&gt;"Please Select")</formula>
    </cfRule>
  </conditionalFormatting>
  <conditionalFormatting sqref="AB101:AD125">
    <cfRule type="expression" dxfId="385" priority="2000">
      <formula>AND($H$67&gt;=3, $H$67&lt;&gt;"Please Select")</formula>
    </cfRule>
  </conditionalFormatting>
  <conditionalFormatting sqref="AB47:AE47">
    <cfRule type="expression" dxfId="384" priority="3069">
      <formula>AND($H$16&gt;=3, $H$16&lt;&gt;"Please Select")</formula>
    </cfRule>
  </conditionalFormatting>
  <conditionalFormatting sqref="AB43:AF44">
    <cfRule type="expression" dxfId="383" priority="3071">
      <formula>AND($H$16&gt;=3, $H$16&lt;&gt;"Please Select")</formula>
    </cfRule>
  </conditionalFormatting>
  <conditionalFormatting sqref="AB100:AF100">
    <cfRule type="expression" dxfId="382" priority="2001">
      <formula>AND($H$67&gt;=3, $H$67&lt;&gt;"Please Select")</formula>
    </cfRule>
  </conditionalFormatting>
  <conditionalFormatting sqref="AB29:AH29">
    <cfRule type="expression" dxfId="381" priority="3077">
      <formula>AND($H$16&gt;=3, $H$16&lt;&gt;"Please Select")</formula>
    </cfRule>
  </conditionalFormatting>
  <conditionalFormatting sqref="AB85:AH85">
    <cfRule type="expression" dxfId="380" priority="2358">
      <formula>AND($H$67&gt;=3, $H$67&lt;&gt;"Please Select")</formula>
    </cfRule>
  </conditionalFormatting>
  <conditionalFormatting sqref="AB153:AH153">
    <cfRule type="expression" dxfId="379" priority="348">
      <formula>$AB$153&lt;&gt;""</formula>
    </cfRule>
  </conditionalFormatting>
  <conditionalFormatting sqref="AB55:AJ55">
    <cfRule type="expression" dxfId="378" priority="3068">
      <formula>AND($H$16&gt;=3, $H$16&lt;&gt;"Please Select")</formula>
    </cfRule>
  </conditionalFormatting>
  <conditionalFormatting sqref="AB128:AJ128">
    <cfRule type="expression" dxfId="377" priority="2353">
      <formula>AND($H$67&gt;=3, $H$67&lt;&gt;"Please Select")</formula>
    </cfRule>
  </conditionalFormatting>
  <conditionalFormatting sqref="AB168:AJ168">
    <cfRule type="expression" dxfId="376" priority="141">
      <formula>$AB$168&lt;&gt;""</formula>
    </cfRule>
  </conditionalFormatting>
  <conditionalFormatting sqref="AB62:AN63">
    <cfRule type="expression" dxfId="375" priority="43">
      <formula>$H$16&gt;=3</formula>
    </cfRule>
  </conditionalFormatting>
  <conditionalFormatting sqref="AB137:AN138">
    <cfRule type="expression" dxfId="374" priority="10">
      <formula>$H67&gt;=3</formula>
    </cfRule>
  </conditionalFormatting>
  <conditionalFormatting sqref="AC4">
    <cfRule type="expression" dxfId="373" priority="8">
      <formula>AB4&lt;&gt;""</formula>
    </cfRule>
  </conditionalFormatting>
  <conditionalFormatting sqref="AC34:AD34">
    <cfRule type="expression" dxfId="372" priority="3076">
      <formula>AND($H$16&gt;=3, $H$16&lt;&gt;"Please Select")</formula>
    </cfRule>
  </conditionalFormatting>
  <conditionalFormatting sqref="AC90:AD90">
    <cfRule type="expression" dxfId="371" priority="2356">
      <formula>AND($H$67&gt;=3, $H$67&lt;&gt;"Please Select")</formula>
    </cfRule>
  </conditionalFormatting>
  <conditionalFormatting sqref="AC158:AD158">
    <cfRule type="expression" dxfId="370" priority="347">
      <formula>$AB$153&lt;&gt;""</formula>
    </cfRule>
  </conditionalFormatting>
  <conditionalFormatting sqref="AC48:AE52">
    <cfRule type="expression" dxfId="369" priority="2389">
      <formula>AND($H$16&gt;=3, $H$16&lt;&gt;"Please Select")</formula>
    </cfRule>
  </conditionalFormatting>
  <conditionalFormatting sqref="AC31:AF33">
    <cfRule type="expression" dxfId="368" priority="2392">
      <formula>AND($H$16&gt;=3, $H$16&lt;&gt;"Please Select")</formula>
    </cfRule>
  </conditionalFormatting>
  <conditionalFormatting sqref="AC45:AF45">
    <cfRule type="expression" dxfId="367" priority="2391">
      <formula>AND($H$16&gt;=3, $H$16&lt;&gt;"Please Select")</formula>
    </cfRule>
  </conditionalFormatting>
  <conditionalFormatting sqref="AC87:AF89">
    <cfRule type="expression" dxfId="366" priority="2357">
      <formula>AND($H$67&gt;=3, $H$67&lt;&gt;"Please Select")</formula>
    </cfRule>
  </conditionalFormatting>
  <conditionalFormatting sqref="AC155:AF157">
    <cfRule type="expression" dxfId="365" priority="258">
      <formula>$AB$153&lt;&gt;""</formula>
    </cfRule>
  </conditionalFormatting>
  <conditionalFormatting sqref="AD35">
    <cfRule type="expression" dxfId="364" priority="3074">
      <formula>AND($H$16&gt;=3, $H$16&lt;&gt;"Please Select")</formula>
    </cfRule>
  </conditionalFormatting>
  <conditionalFormatting sqref="AD91">
    <cfRule type="expression" dxfId="363" priority="2354">
      <formula>AND($H$67&gt;=3, $H$67&lt;&gt;"Please Select")</formula>
    </cfRule>
  </conditionalFormatting>
  <conditionalFormatting sqref="AD159">
    <cfRule type="expression" dxfId="362" priority="345">
      <formula>$AB$153&lt;&gt;""</formula>
    </cfRule>
  </conditionalFormatting>
  <conditionalFormatting sqref="AD94:AE94">
    <cfRule type="expression" dxfId="361" priority="212">
      <formula>$AD$94="No"</formula>
    </cfRule>
    <cfRule type="expression" dxfId="360" priority="213">
      <formula>AND($H$67&gt;=3,$H$67&lt;&gt;"Please Select")</formula>
    </cfRule>
  </conditionalFormatting>
  <conditionalFormatting sqref="AD95:AE95">
    <cfRule type="expression" dxfId="359" priority="2351">
      <formula>AND($H$67&gt;=3, $H$67&lt;&gt;"Please Select")</formula>
    </cfRule>
  </conditionalFormatting>
  <conditionalFormatting sqref="AD98:AE98">
    <cfRule type="expression" dxfId="358" priority="456">
      <formula>AND($H$67&gt;=3, $H$67&lt;&gt;"Please Select")</formula>
    </cfRule>
  </conditionalFormatting>
  <conditionalFormatting sqref="AD165:AE165">
    <cfRule type="expression" dxfId="357" priority="254">
      <formula>$AB$153&lt;&gt;""</formula>
    </cfRule>
  </conditionalFormatting>
  <conditionalFormatting sqref="AD37:AF37">
    <cfRule type="expression" dxfId="356" priority="3073">
      <formula>AND($H$16&gt;=3, $H$16&lt;&gt;"Please Select")</formula>
    </cfRule>
  </conditionalFormatting>
  <conditionalFormatting sqref="AD161:AF161">
    <cfRule type="expression" dxfId="355" priority="344">
      <formula>$AB$153&lt;&gt;""</formula>
    </cfRule>
  </conditionalFormatting>
  <conditionalFormatting sqref="AE101">
    <cfRule type="expression" dxfId="354" priority="1996">
      <formula>AE$101="Pending"</formula>
    </cfRule>
  </conditionalFormatting>
  <conditionalFormatting sqref="AE101:AF125">
    <cfRule type="expression" dxfId="353" priority="1999">
      <formula>AND($H$67&gt;=3, $H$67&lt;&gt;"Please Select")</formula>
    </cfRule>
  </conditionalFormatting>
  <conditionalFormatting sqref="AE102:AF102">
    <cfRule type="expression" dxfId="352" priority="1994">
      <formula>AE$102="Pending"</formula>
    </cfRule>
  </conditionalFormatting>
  <conditionalFormatting sqref="AE103:AF103">
    <cfRule type="expression" dxfId="351" priority="1992">
      <formula>AE$103="Pending"</formula>
    </cfRule>
  </conditionalFormatting>
  <conditionalFormatting sqref="AE104:AF104">
    <cfRule type="expression" dxfId="350" priority="1990">
      <formula>AE$104="Pending"</formula>
    </cfRule>
  </conditionalFormatting>
  <conditionalFormatting sqref="AE105:AF105">
    <cfRule type="expression" dxfId="349" priority="1988">
      <formula>AE$105="Pending"</formula>
    </cfRule>
  </conditionalFormatting>
  <conditionalFormatting sqref="AE106:AF106">
    <cfRule type="expression" dxfId="348" priority="1986">
      <formula>AE$106="Pending"</formula>
    </cfRule>
  </conditionalFormatting>
  <conditionalFormatting sqref="AE107:AF107">
    <cfRule type="expression" dxfId="347" priority="1984">
      <formula>AE$107="Pending"</formula>
    </cfRule>
  </conditionalFormatting>
  <conditionalFormatting sqref="AE108:AF108">
    <cfRule type="expression" dxfId="346" priority="1982">
      <formula>AE$108="Pending"</formula>
    </cfRule>
  </conditionalFormatting>
  <conditionalFormatting sqref="AE109:AF109">
    <cfRule type="expression" dxfId="345" priority="1980">
      <formula>AE$109="Pending"</formula>
    </cfRule>
  </conditionalFormatting>
  <conditionalFormatting sqref="AE110:AF110">
    <cfRule type="expression" dxfId="344" priority="1978">
      <formula>AE$110="Pending"</formula>
    </cfRule>
  </conditionalFormatting>
  <conditionalFormatting sqref="AE111:AF111">
    <cfRule type="expression" dxfId="343" priority="1976">
      <formula>AE$111="Pending"</formula>
    </cfRule>
  </conditionalFormatting>
  <conditionalFormatting sqref="AE112:AF112">
    <cfRule type="expression" dxfId="342" priority="1974">
      <formula>AE$112="Pending"</formula>
    </cfRule>
  </conditionalFormatting>
  <conditionalFormatting sqref="AE113:AF113">
    <cfRule type="expression" dxfId="341" priority="1972">
      <formula>AE$113="Pending"</formula>
    </cfRule>
  </conditionalFormatting>
  <conditionalFormatting sqref="AE114:AF114">
    <cfRule type="expression" dxfId="340" priority="1970">
      <formula>AE$114="Pending"</formula>
    </cfRule>
  </conditionalFormatting>
  <conditionalFormatting sqref="AE115:AF115">
    <cfRule type="expression" dxfId="339" priority="1968">
      <formula>AE$115="Pending"</formula>
    </cfRule>
  </conditionalFormatting>
  <conditionalFormatting sqref="AE116:AF116">
    <cfRule type="expression" dxfId="338" priority="1966">
      <formula>AE$116="Pending"</formula>
    </cfRule>
  </conditionalFormatting>
  <conditionalFormatting sqref="AE117:AF117">
    <cfRule type="expression" dxfId="337" priority="1964">
      <formula>AE$117="Pending"</formula>
    </cfRule>
  </conditionalFormatting>
  <conditionalFormatting sqref="AE118:AF118">
    <cfRule type="expression" dxfId="336" priority="1962">
      <formula>AE$118="Pending"</formula>
    </cfRule>
  </conditionalFormatting>
  <conditionalFormatting sqref="AE119:AF119">
    <cfRule type="expression" dxfId="335" priority="1960">
      <formula>AE$119="Pending"</formula>
    </cfRule>
  </conditionalFormatting>
  <conditionalFormatting sqref="AE120:AF120">
    <cfRule type="expression" dxfId="334" priority="1958">
      <formula>AE$120="Pending"</formula>
    </cfRule>
  </conditionalFormatting>
  <conditionalFormatting sqref="AE121:AF121">
    <cfRule type="expression" dxfId="333" priority="1956">
      <formula>AE$121="Pending"</formula>
    </cfRule>
  </conditionalFormatting>
  <conditionalFormatting sqref="AE122:AF122">
    <cfRule type="expression" dxfId="332" priority="1954">
      <formula>AE$122="Pending"</formula>
    </cfRule>
  </conditionalFormatting>
  <conditionalFormatting sqref="AE123:AF123">
    <cfRule type="expression" dxfId="331" priority="1952">
      <formula>AE$123="Pending"</formula>
    </cfRule>
  </conditionalFormatting>
  <conditionalFormatting sqref="AE124:AF124">
    <cfRule type="expression" dxfId="330" priority="1950">
      <formula>AE$124="Pending"</formula>
    </cfRule>
  </conditionalFormatting>
  <conditionalFormatting sqref="AE125:AF125">
    <cfRule type="expression" dxfId="329" priority="1948">
      <formula>AE$125="Pending"</formula>
    </cfRule>
  </conditionalFormatting>
  <conditionalFormatting sqref="AE56:AJ56 AE59:AJ59">
    <cfRule type="expression" dxfId="328" priority="3066">
      <formula>AND($H$16&gt;=3, $H$16&lt;&gt;"Please Select")</formula>
    </cfRule>
  </conditionalFormatting>
  <conditionalFormatting sqref="AE57:AJ58">
    <cfRule type="expression" dxfId="327" priority="87">
      <formula>$AE$57&lt;&gt;""</formula>
    </cfRule>
  </conditionalFormatting>
  <conditionalFormatting sqref="AE129:AJ129 AE132:AJ132">
    <cfRule type="expression" dxfId="326" priority="2352">
      <formula>AND($H$67&gt;=3, $H$67&lt;&gt;"Please Select")</formula>
    </cfRule>
  </conditionalFormatting>
  <conditionalFormatting sqref="AE130:AJ131">
    <cfRule type="expression" dxfId="325" priority="58">
      <formula>$AE$130&lt;&gt;""</formula>
    </cfRule>
  </conditionalFormatting>
  <conditionalFormatting sqref="AE169:AJ172">
    <cfRule type="expression" dxfId="324" priority="140">
      <formula>$AE$169&lt;&gt;""</formula>
    </cfRule>
  </conditionalFormatting>
  <conditionalFormatting sqref="AF34">
    <cfRule type="expression" dxfId="323" priority="3075">
      <formula>AND($H$16&gt;=3, $H$16&lt;&gt;"Please Select")</formula>
    </cfRule>
  </conditionalFormatting>
  <conditionalFormatting sqref="AF38">
    <cfRule type="expression" dxfId="322" priority="216">
      <formula>$AF$38="Pending"</formula>
    </cfRule>
    <cfRule type="expression" dxfId="321" priority="3072">
      <formula>AND($H$16&gt;=3, $H$16&lt;&gt;"Please Select")</formula>
    </cfRule>
  </conditionalFormatting>
  <conditionalFormatting sqref="AF39">
    <cfRule type="expression" dxfId="320" priority="3067">
      <formula>$AF$38&lt;&gt;""</formula>
    </cfRule>
  </conditionalFormatting>
  <conditionalFormatting sqref="AF90">
    <cfRule type="expression" dxfId="319" priority="2355">
      <formula>AND($H$67&gt;=3, $H$67&lt;&gt;"Please Select")</formula>
    </cfRule>
  </conditionalFormatting>
  <conditionalFormatting sqref="AF158">
    <cfRule type="expression" dxfId="318" priority="346">
      <formula>$AB$153&lt;&gt;""</formula>
    </cfRule>
  </conditionalFormatting>
  <conditionalFormatting sqref="AF162">
    <cfRule type="expression" dxfId="317" priority="343">
      <formula>$AB$153&lt;&gt;""</formula>
    </cfRule>
    <cfRule type="expression" dxfId="316" priority="155">
      <formula>$AF$162="Pending"</formula>
    </cfRule>
  </conditionalFormatting>
  <conditionalFormatting sqref="AF163">
    <cfRule type="expression" dxfId="315" priority="342">
      <formula>$AF$162&lt;&gt;""</formula>
    </cfRule>
  </conditionalFormatting>
  <conditionalFormatting sqref="AG100:AH100">
    <cfRule type="expression" dxfId="314" priority="1997">
      <formula>AG$100&lt;&gt;""</formula>
    </cfRule>
  </conditionalFormatting>
  <conditionalFormatting sqref="AG101:AH101">
    <cfRule type="expression" dxfId="313" priority="1995">
      <formula>AE$101="Pending"</formula>
    </cfRule>
  </conditionalFormatting>
  <conditionalFormatting sqref="AG102:AH102">
    <cfRule type="expression" dxfId="312" priority="1993">
      <formula>AE$102="Pending"</formula>
    </cfRule>
  </conditionalFormatting>
  <conditionalFormatting sqref="AG103:AH103">
    <cfRule type="expression" dxfId="311" priority="1991">
      <formula>AE$103="Pending"</formula>
    </cfRule>
  </conditionalFormatting>
  <conditionalFormatting sqref="AG104:AH104">
    <cfRule type="expression" dxfId="310" priority="1989">
      <formula>AE$104="Pending"</formula>
    </cfRule>
  </conditionalFormatting>
  <conditionalFormatting sqref="AG105:AH105">
    <cfRule type="expression" dxfId="309" priority="1987">
      <formula>AE$105="Pending"</formula>
    </cfRule>
  </conditionalFormatting>
  <conditionalFormatting sqref="AG106:AH106">
    <cfRule type="expression" dxfId="308" priority="1985">
      <formula>AE$106="Pending"</formula>
    </cfRule>
  </conditionalFormatting>
  <conditionalFormatting sqref="AG107:AH107">
    <cfRule type="expression" dxfId="307" priority="1983">
      <formula>AE$107="Pending"</formula>
    </cfRule>
  </conditionalFormatting>
  <conditionalFormatting sqref="AG108:AH108">
    <cfRule type="expression" dxfId="306" priority="1981">
      <formula>AE$108="Pending"</formula>
    </cfRule>
  </conditionalFormatting>
  <conditionalFormatting sqref="AG109:AH109">
    <cfRule type="expression" dxfId="305" priority="1979">
      <formula>AE$109="Pending"</formula>
    </cfRule>
  </conditionalFormatting>
  <conditionalFormatting sqref="AG110:AH110">
    <cfRule type="expression" dxfId="304" priority="1977">
      <formula>AE$110="Pending"</formula>
    </cfRule>
  </conditionalFormatting>
  <conditionalFormatting sqref="AG111:AH111">
    <cfRule type="expression" dxfId="303" priority="1975">
      <formula>AE$111="Pending"</formula>
    </cfRule>
  </conditionalFormatting>
  <conditionalFormatting sqref="AG112:AH112">
    <cfRule type="expression" dxfId="302" priority="1973">
      <formula>AE$112="Pending"</formula>
    </cfRule>
  </conditionalFormatting>
  <conditionalFormatting sqref="AG113:AH113">
    <cfRule type="expression" dxfId="301" priority="1971">
      <formula>AE$113="Pending"</formula>
    </cfRule>
  </conditionalFormatting>
  <conditionalFormatting sqref="AG114:AH114">
    <cfRule type="expression" dxfId="300" priority="1969">
      <formula>AE$114="Pending"</formula>
    </cfRule>
  </conditionalFormatting>
  <conditionalFormatting sqref="AG115:AH115">
    <cfRule type="expression" dxfId="299" priority="1967">
      <formula>AE$115="Pending"</formula>
    </cfRule>
  </conditionalFormatting>
  <conditionalFormatting sqref="AG116:AH116">
    <cfRule type="expression" dxfId="298" priority="1965">
      <formula>AE$116="Pending"</formula>
    </cfRule>
  </conditionalFormatting>
  <conditionalFormatting sqref="AG117:AH117">
    <cfRule type="expression" dxfId="297" priority="1963">
      <formula>AE$117="Pending"</formula>
    </cfRule>
  </conditionalFormatting>
  <conditionalFormatting sqref="AG118:AH118">
    <cfRule type="expression" dxfId="296" priority="1961">
      <formula>AE$118="Pending"</formula>
    </cfRule>
  </conditionalFormatting>
  <conditionalFormatting sqref="AG119:AH119">
    <cfRule type="expression" dxfId="295" priority="1959">
      <formula>AE$119="Pending"</formula>
    </cfRule>
  </conditionalFormatting>
  <conditionalFormatting sqref="AG120:AH120">
    <cfRule type="expression" dxfId="294" priority="1957">
      <formula>AE$120="Pending"</formula>
    </cfRule>
  </conditionalFormatting>
  <conditionalFormatting sqref="AG121:AH121">
    <cfRule type="expression" dxfId="293" priority="1955">
      <formula>AE$121="Pending"</formula>
    </cfRule>
  </conditionalFormatting>
  <conditionalFormatting sqref="AG122:AH122">
    <cfRule type="expression" dxfId="292" priority="1953">
      <formula>AE$122="Pending"</formula>
    </cfRule>
  </conditionalFormatting>
  <conditionalFormatting sqref="AG123:AH123">
    <cfRule type="expression" dxfId="291" priority="1951">
      <formula>AE$123="Pending"</formula>
    </cfRule>
  </conditionalFormatting>
  <conditionalFormatting sqref="AG124:AH124">
    <cfRule type="expression" dxfId="290" priority="1949">
      <formula>AE$124="Pending"</formula>
    </cfRule>
  </conditionalFormatting>
  <conditionalFormatting sqref="AG125:AH125">
    <cfRule type="expression" dxfId="289" priority="1947">
      <formula>AE$125="Pending"</formula>
    </cfRule>
  </conditionalFormatting>
  <conditionalFormatting sqref="AI31:AL32">
    <cfRule type="expression" dxfId="288" priority="2479">
      <formula>AI$31&lt;&gt;""</formula>
    </cfRule>
  </conditionalFormatting>
  <conditionalFormatting sqref="AI87:AL88">
    <cfRule type="expression" dxfId="287" priority="2359">
      <formula>AI$87&lt;&gt;""</formula>
    </cfRule>
  </conditionalFormatting>
  <conditionalFormatting sqref="AI155:AL156">
    <cfRule type="expression" dxfId="286" priority="293">
      <formula>AI$155&lt;&gt;""</formula>
    </cfRule>
  </conditionalFormatting>
  <conditionalFormatting sqref="AK59:AN59">
    <cfRule type="expression" dxfId="285" priority="400">
      <formula>AK59&lt;&gt;""</formula>
    </cfRule>
  </conditionalFormatting>
  <conditionalFormatting sqref="AK132:AN132">
    <cfRule type="expression" dxfId="284" priority="395">
      <formula>AK132&lt;&gt;""</formula>
    </cfRule>
  </conditionalFormatting>
  <conditionalFormatting sqref="AK172:AN172">
    <cfRule type="expression" dxfId="283" priority="123">
      <formula>AK172&lt;&gt;""</formula>
    </cfRule>
  </conditionalFormatting>
  <conditionalFormatting sqref="AO45">
    <cfRule type="expression" dxfId="282" priority="3059">
      <formula>AND($H$16&gt;=4, $H$16&lt;&gt;"Please Select")</formula>
    </cfRule>
  </conditionalFormatting>
  <conditionalFormatting sqref="AO48:AO52">
    <cfRule type="expression" dxfId="281" priority="2393">
      <formula>AND($H$16&gt;=4, $H$16&lt;&gt;"Please Select")</formula>
    </cfRule>
  </conditionalFormatting>
  <conditionalFormatting sqref="AO99">
    <cfRule type="expression" dxfId="280" priority="1943">
      <formula>AND($H$67&gt;=4, $H$67&lt;&gt;"Please Select")</formula>
    </cfRule>
  </conditionalFormatting>
  <conditionalFormatting sqref="AO101:AQ125">
    <cfRule type="expression" dxfId="279" priority="1945">
      <formula>AND($H$67&gt;=4, $H$67&lt;&gt;"Please Select")</formula>
    </cfRule>
  </conditionalFormatting>
  <conditionalFormatting sqref="AO47:AR47">
    <cfRule type="expression" dxfId="278" priority="2394">
      <formula>AND($H$16&gt;=4, $H$16&lt;&gt;"Please Select")</formula>
    </cfRule>
  </conditionalFormatting>
  <conditionalFormatting sqref="AO155:AR156">
    <cfRule type="expression" dxfId="277" priority="266">
      <formula>CB$31&lt;&gt;""</formula>
    </cfRule>
  </conditionalFormatting>
  <conditionalFormatting sqref="AO43:AS44">
    <cfRule type="expression" dxfId="276" priority="2396">
      <formula>AND($H$16&gt;=4, $H$16&lt;&gt;"Please Select")</formula>
    </cfRule>
  </conditionalFormatting>
  <conditionalFormatting sqref="AO100:AS100">
    <cfRule type="expression" dxfId="275" priority="1946">
      <formula>AND($H$67&gt;=4, $H$67&lt;&gt;"Please Select")</formula>
    </cfRule>
  </conditionalFormatting>
  <conditionalFormatting sqref="AO29:AU29">
    <cfRule type="expression" dxfId="274" priority="3065">
      <formula>AND($H$16&gt;=4, $H$16&lt;&gt;"Please Select")</formula>
    </cfRule>
  </conditionalFormatting>
  <conditionalFormatting sqref="AO85:AU85">
    <cfRule type="expression" dxfId="273" priority="2349">
      <formula>AND($H$67&gt;=4, $H$67&lt;&gt;"Please Select")</formula>
    </cfRule>
  </conditionalFormatting>
  <conditionalFormatting sqref="AO55:AW55">
    <cfRule type="expression" dxfId="272" priority="3057">
      <formula>AND($H$16&gt;=4, $H$16&lt;&gt;"Please Select")</formula>
    </cfRule>
  </conditionalFormatting>
  <conditionalFormatting sqref="AO128:AW128">
    <cfRule type="expression" dxfId="271" priority="2344">
      <formula>AND($H$67&gt;=4, $H$67&lt;&gt;"Please Select")</formula>
    </cfRule>
  </conditionalFormatting>
  <conditionalFormatting sqref="AO62:BA63">
    <cfRule type="expression" dxfId="270" priority="45">
      <formula>$H$16&gt;=4</formula>
    </cfRule>
  </conditionalFormatting>
  <conditionalFormatting sqref="AO137:BA138">
    <cfRule type="expression" dxfId="269" priority="12">
      <formula>$H67&gt;=4</formula>
    </cfRule>
  </conditionalFormatting>
  <conditionalFormatting sqref="AP34:AQ34">
    <cfRule type="expression" dxfId="268" priority="3064">
      <formula>AND($H$16&gt;=4, $H$16&lt;&gt;"Please Select")</formula>
    </cfRule>
  </conditionalFormatting>
  <conditionalFormatting sqref="AP90:AQ90">
    <cfRule type="expression" dxfId="267" priority="2347">
      <formula>AND($H$67&gt;=4, $H$67&lt;&gt;"Please Select")</formula>
    </cfRule>
  </conditionalFormatting>
  <conditionalFormatting sqref="AP48:AR52">
    <cfRule type="expression" dxfId="266" priority="3058">
      <formula>AND($H$16&gt;=4, $H$16&lt;&gt;"Please Select")</formula>
    </cfRule>
  </conditionalFormatting>
  <conditionalFormatting sqref="AP31:AS33">
    <cfRule type="expression" dxfId="265" priority="2397">
      <formula>AND($H$16&gt;=4, $H$16&lt;&gt;"Please Select")</formula>
    </cfRule>
  </conditionalFormatting>
  <conditionalFormatting sqref="AP45:AS45">
    <cfRule type="expression" dxfId="264" priority="2395">
      <formula>AND($H$16&gt;=4, $H$16&lt;&gt;"Please Select")</formula>
    </cfRule>
  </conditionalFormatting>
  <conditionalFormatting sqref="AP87:AS89">
    <cfRule type="expression" dxfId="263" priority="2348">
      <formula>AND($H$67&gt;=4, $H$67&lt;&gt;"Please Select")</formula>
    </cfRule>
  </conditionalFormatting>
  <conditionalFormatting sqref="AQ35">
    <cfRule type="expression" dxfId="262" priority="3062">
      <formula>AND($H$16&gt;=4, $H$16&lt;&gt;"Please Select")</formula>
    </cfRule>
  </conditionalFormatting>
  <conditionalFormatting sqref="AQ91">
    <cfRule type="expression" dxfId="261" priority="2345">
      <formula>AND($H$67&gt;=4, $H$67&lt;&gt;"Please Select")</formula>
    </cfRule>
  </conditionalFormatting>
  <conditionalFormatting sqref="AQ94:AR94">
    <cfRule type="expression" dxfId="260" priority="210">
      <formula>$AQ$94="No"</formula>
    </cfRule>
  </conditionalFormatting>
  <conditionalFormatting sqref="AQ94:AR95">
    <cfRule type="expression" dxfId="259" priority="211">
      <formula>AND($H$67&gt;=4, $H$67&lt;&gt;"Please Select")</formula>
    </cfRule>
  </conditionalFormatting>
  <conditionalFormatting sqref="AQ98:AR98">
    <cfRule type="expression" dxfId="258" priority="455">
      <formula>AND($H$67&gt;=4, $H$67&lt;&gt;"Please Select")</formula>
    </cfRule>
  </conditionalFormatting>
  <conditionalFormatting sqref="AQ37:AS37">
    <cfRule type="expression" dxfId="257" priority="3061">
      <formula>AND($H$16&gt;=4, $H$16&lt;&gt;"Please Select")</formula>
    </cfRule>
  </conditionalFormatting>
  <conditionalFormatting sqref="AR101">
    <cfRule type="expression" dxfId="256" priority="1941">
      <formula>AR$101="Pending"</formula>
    </cfRule>
  </conditionalFormatting>
  <conditionalFormatting sqref="AR101:AS125">
    <cfRule type="expression" dxfId="255" priority="1944">
      <formula>AND($H$67&gt;=4, $H$67&lt;&gt;"Please Select")</formula>
    </cfRule>
  </conditionalFormatting>
  <conditionalFormatting sqref="AR102:AS102">
    <cfRule type="expression" dxfId="254" priority="1939">
      <formula>AR$102="Pending"</formula>
    </cfRule>
  </conditionalFormatting>
  <conditionalFormatting sqref="AR103:AS103">
    <cfRule type="expression" dxfId="253" priority="1937">
      <formula>AR$103="Pending"</formula>
    </cfRule>
  </conditionalFormatting>
  <conditionalFormatting sqref="AR104:AS104">
    <cfRule type="expression" dxfId="252" priority="1935">
      <formula>AR$104="Pending"</formula>
    </cfRule>
  </conditionalFormatting>
  <conditionalFormatting sqref="AR105:AS105">
    <cfRule type="expression" dxfId="251" priority="1933">
      <formula>AR$105="Pending"</formula>
    </cfRule>
  </conditionalFormatting>
  <conditionalFormatting sqref="AR106:AS106">
    <cfRule type="expression" dxfId="250" priority="1931">
      <formula>AR$106="Pending"</formula>
    </cfRule>
  </conditionalFormatting>
  <conditionalFormatting sqref="AR107:AS107">
    <cfRule type="expression" dxfId="249" priority="1929">
      <formula>AR$107="Pending"</formula>
    </cfRule>
  </conditionalFormatting>
  <conditionalFormatting sqref="AR108:AS108">
    <cfRule type="expression" dxfId="248" priority="1927">
      <formula>AR$108="Pending"</formula>
    </cfRule>
  </conditionalFormatting>
  <conditionalFormatting sqref="AR109:AS109">
    <cfRule type="expression" dxfId="247" priority="1925">
      <formula>AR$109="Pending"</formula>
    </cfRule>
  </conditionalFormatting>
  <conditionalFormatting sqref="AR110:AS110">
    <cfRule type="expression" dxfId="246" priority="1923">
      <formula>AR$110="Pending"</formula>
    </cfRule>
  </conditionalFormatting>
  <conditionalFormatting sqref="AR111:AS111">
    <cfRule type="expression" dxfId="245" priority="1921">
      <formula>AR$111="Pending"</formula>
    </cfRule>
  </conditionalFormatting>
  <conditionalFormatting sqref="AR112:AS112">
    <cfRule type="expression" dxfId="244" priority="1919">
      <formula>AR$112="Pending"</formula>
    </cfRule>
  </conditionalFormatting>
  <conditionalFormatting sqref="AR113:AS113">
    <cfRule type="expression" dxfId="243" priority="1917">
      <formula>AR$113="Pending"</formula>
    </cfRule>
  </conditionalFormatting>
  <conditionalFormatting sqref="AR114:AS114">
    <cfRule type="expression" dxfId="242" priority="1915">
      <formula>AR$114="Pending"</formula>
    </cfRule>
  </conditionalFormatting>
  <conditionalFormatting sqref="AR115:AS115">
    <cfRule type="expression" dxfId="241" priority="1913">
      <formula>AR$115="Pending"</formula>
    </cfRule>
  </conditionalFormatting>
  <conditionalFormatting sqref="AR116:AS116">
    <cfRule type="expression" dxfId="240" priority="1911">
      <formula>AR$116="Pending"</formula>
    </cfRule>
  </conditionalFormatting>
  <conditionalFormatting sqref="AR117:AS117">
    <cfRule type="expression" dxfId="239" priority="1909">
      <formula>AR$117="Pending"</formula>
    </cfRule>
  </conditionalFormatting>
  <conditionalFormatting sqref="AR118:AS118">
    <cfRule type="expression" dxfId="238" priority="1907">
      <formula>AR$118="Pending"</formula>
    </cfRule>
  </conditionalFormatting>
  <conditionalFormatting sqref="AR119:AS119">
    <cfRule type="expression" dxfId="237" priority="1905">
      <formula>AR$119="Pending"</formula>
    </cfRule>
  </conditionalFormatting>
  <conditionalFormatting sqref="AR120:AS120">
    <cfRule type="expression" dxfId="236" priority="1903">
      <formula>AR$120="Pending"</formula>
    </cfRule>
  </conditionalFormatting>
  <conditionalFormatting sqref="AR121:AS121">
    <cfRule type="expression" dxfId="235" priority="1901">
      <formula>AR$121="Pending"</formula>
    </cfRule>
  </conditionalFormatting>
  <conditionalFormatting sqref="AR122:AS122">
    <cfRule type="expression" dxfId="234" priority="1899">
      <formula>AR$122="Pending"</formula>
    </cfRule>
  </conditionalFormatting>
  <conditionalFormatting sqref="AR123:AS123">
    <cfRule type="expression" dxfId="233" priority="1897">
      <formula>AR$123="Pending"</formula>
    </cfRule>
  </conditionalFormatting>
  <conditionalFormatting sqref="AR124:AS124">
    <cfRule type="expression" dxfId="232" priority="1895">
      <formula>AR$124="Pending"</formula>
    </cfRule>
  </conditionalFormatting>
  <conditionalFormatting sqref="AR125:AS125">
    <cfRule type="expression" dxfId="231" priority="1893">
      <formula>AR$125="Pending"</formula>
    </cfRule>
  </conditionalFormatting>
  <conditionalFormatting sqref="AR56:AW56 AR59:AW59">
    <cfRule type="expression" dxfId="230" priority="3055">
      <formula>AND($H$16&gt;=4, $H$16&lt;&gt;"Please Select")</formula>
    </cfRule>
  </conditionalFormatting>
  <conditionalFormatting sqref="AR57:AW58">
    <cfRule type="expression" dxfId="229" priority="88">
      <formula>$AR$57&lt;&gt;""</formula>
    </cfRule>
  </conditionalFormatting>
  <conditionalFormatting sqref="AR129:AW129 AR132:AW132">
    <cfRule type="expression" dxfId="228" priority="2343">
      <formula>AND($H$67&gt;=4, $H$67&lt;&gt;"Please Select")</formula>
    </cfRule>
  </conditionalFormatting>
  <conditionalFormatting sqref="AR130:AW131">
    <cfRule type="expression" dxfId="227" priority="59">
      <formula>$AR$130&lt;&gt;""</formula>
    </cfRule>
  </conditionalFormatting>
  <conditionalFormatting sqref="AS34">
    <cfRule type="expression" dxfId="226" priority="3063">
      <formula>AND($H$16&gt;=4, $H$16&lt;&gt;"Please Select")</formula>
    </cfRule>
  </conditionalFormatting>
  <conditionalFormatting sqref="AS38">
    <cfRule type="expression" dxfId="225" priority="217">
      <formula>$AS$38="Pending"</formula>
    </cfRule>
    <cfRule type="expression" dxfId="224" priority="3060">
      <formula>AND($H$16&gt;=4, $H$16&lt;&gt;"Please Select")</formula>
    </cfRule>
  </conditionalFormatting>
  <conditionalFormatting sqref="AS39">
    <cfRule type="expression" dxfId="223" priority="3056">
      <formula>AS$38&lt;&gt;""</formula>
    </cfRule>
  </conditionalFormatting>
  <conditionalFormatting sqref="AS90">
    <cfRule type="expression" dxfId="222" priority="2346">
      <formula>AND($H$67&gt;=4, $H$67&lt;&gt;"Please Select")</formula>
    </cfRule>
  </conditionalFormatting>
  <conditionalFormatting sqref="AT4">
    <cfRule type="expression" dxfId="221" priority="7">
      <formula>AS4&lt;&gt;""</formula>
    </cfRule>
  </conditionalFormatting>
  <conditionalFormatting sqref="AT100:AU100">
    <cfRule type="expression" dxfId="220" priority="1942">
      <formula>AT$100&lt;&gt;""</formula>
    </cfRule>
  </conditionalFormatting>
  <conditionalFormatting sqref="AT101:AU101">
    <cfRule type="expression" dxfId="219" priority="1940">
      <formula>AR$101="Pending"</formula>
    </cfRule>
  </conditionalFormatting>
  <conditionalFormatting sqref="AT102:AU102">
    <cfRule type="expression" dxfId="218" priority="1938">
      <formula>AR$102="Pending"</formula>
    </cfRule>
  </conditionalFormatting>
  <conditionalFormatting sqref="AT103:AU103">
    <cfRule type="expression" dxfId="217" priority="1936">
      <formula>AR$103="Pending"</formula>
    </cfRule>
  </conditionalFormatting>
  <conditionalFormatting sqref="AT104:AU104">
    <cfRule type="expression" dxfId="216" priority="1934">
      <formula>AR$104="Pending"</formula>
    </cfRule>
  </conditionalFormatting>
  <conditionalFormatting sqref="AT105:AU105">
    <cfRule type="expression" dxfId="215" priority="1932">
      <formula>AR$105="Pending"</formula>
    </cfRule>
  </conditionalFormatting>
  <conditionalFormatting sqref="AT106:AU106">
    <cfRule type="expression" dxfId="214" priority="1930">
      <formula>AR$106="Pending"</formula>
    </cfRule>
  </conditionalFormatting>
  <conditionalFormatting sqref="AT107:AU107">
    <cfRule type="expression" dxfId="213" priority="1928">
      <formula>AR$107="Pending"</formula>
    </cfRule>
  </conditionalFormatting>
  <conditionalFormatting sqref="AT108:AU108">
    <cfRule type="expression" dxfId="212" priority="1926">
      <formula>AR$108="Pending"</formula>
    </cfRule>
  </conditionalFormatting>
  <conditionalFormatting sqref="AT109:AU109">
    <cfRule type="expression" dxfId="211" priority="1924">
      <formula>AR$109="Pending"</formula>
    </cfRule>
  </conditionalFormatting>
  <conditionalFormatting sqref="AT110:AU110">
    <cfRule type="expression" dxfId="210" priority="1922">
      <formula>AR$110="Pending"</formula>
    </cfRule>
  </conditionalFormatting>
  <conditionalFormatting sqref="AT111:AU111">
    <cfRule type="expression" dxfId="209" priority="1920">
      <formula>AR$111="Pending"</formula>
    </cfRule>
  </conditionalFormatting>
  <conditionalFormatting sqref="AT112:AU112">
    <cfRule type="expression" dxfId="208" priority="1918">
      <formula>AR$112="Pending"</formula>
    </cfRule>
  </conditionalFormatting>
  <conditionalFormatting sqref="AT113:AU113">
    <cfRule type="expression" dxfId="207" priority="1916">
      <formula>AR$113="Pending"</formula>
    </cfRule>
  </conditionalFormatting>
  <conditionalFormatting sqref="AT114:AU114">
    <cfRule type="expression" dxfId="206" priority="1914">
      <formula>AR$114="Pending"</formula>
    </cfRule>
  </conditionalFormatting>
  <conditionalFormatting sqref="AT115:AU115">
    <cfRule type="expression" dxfId="205" priority="1912">
      <formula>AR$115="Pending"</formula>
    </cfRule>
  </conditionalFormatting>
  <conditionalFormatting sqref="AT116:AU116">
    <cfRule type="expression" dxfId="204" priority="1910">
      <formula>AR$116="Pending"</formula>
    </cfRule>
  </conditionalFormatting>
  <conditionalFormatting sqref="AT117:AU117">
    <cfRule type="expression" dxfId="203" priority="1908">
      <formula>AR$117="Pending"</formula>
    </cfRule>
  </conditionalFormatting>
  <conditionalFormatting sqref="AT118:AU118">
    <cfRule type="expression" dxfId="202" priority="1906">
      <formula>AR$118="Pending"</formula>
    </cfRule>
  </conditionalFormatting>
  <conditionalFormatting sqref="AT119:AU119">
    <cfRule type="expression" dxfId="201" priority="1904">
      <formula>AR$119="Pending"</formula>
    </cfRule>
  </conditionalFormatting>
  <conditionalFormatting sqref="AT120:AU120">
    <cfRule type="expression" dxfId="200" priority="1902">
      <formula>AR$120="Pending"</formula>
    </cfRule>
  </conditionalFormatting>
  <conditionalFormatting sqref="AT121:AU121">
    <cfRule type="expression" dxfId="199" priority="1900">
      <formula>AR$121="Pending"</formula>
    </cfRule>
  </conditionalFormatting>
  <conditionalFormatting sqref="AT122:AU122">
    <cfRule type="expression" dxfId="198" priority="1898">
      <formula>AR$122="Pending"</formula>
    </cfRule>
  </conditionalFormatting>
  <conditionalFormatting sqref="AT123:AU123">
    <cfRule type="expression" dxfId="197" priority="1896">
      <formula>AR$123="Pending"</formula>
    </cfRule>
  </conditionalFormatting>
  <conditionalFormatting sqref="AT124:AU124">
    <cfRule type="expression" dxfId="196" priority="1894">
      <formula>AR$124="Pending"</formula>
    </cfRule>
  </conditionalFormatting>
  <conditionalFormatting sqref="AT125:AU125">
    <cfRule type="expression" dxfId="195" priority="1892">
      <formula>AR$125="Pending"</formula>
    </cfRule>
  </conditionalFormatting>
  <conditionalFormatting sqref="AV31:AY32">
    <cfRule type="expression" dxfId="194" priority="2478">
      <formula>AV$31&lt;&gt;""</formula>
    </cfRule>
  </conditionalFormatting>
  <conditionalFormatting sqref="AV87:AY88">
    <cfRule type="expression" dxfId="193" priority="2350">
      <formula>AV$87&lt;&gt;""</formula>
    </cfRule>
  </conditionalFormatting>
  <conditionalFormatting sqref="AX59:BA59">
    <cfRule type="expression" dxfId="192" priority="401">
      <formula>AX59&lt;&gt;""</formula>
    </cfRule>
  </conditionalFormatting>
  <conditionalFormatting sqref="AX132:BA132">
    <cfRule type="expression" dxfId="191" priority="394">
      <formula>AX132&lt;&gt;""</formula>
    </cfRule>
  </conditionalFormatting>
  <conditionalFormatting sqref="BB45">
    <cfRule type="expression" dxfId="190" priority="3048">
      <formula>AND($H$16&gt;=5, $H$16&lt;&gt;"Please Select")</formula>
    </cfRule>
  </conditionalFormatting>
  <conditionalFormatting sqref="BB48:BB52">
    <cfRule type="expression" dxfId="189" priority="2398">
      <formula>AND($H$16&gt;=5, $H$16&lt;&gt;"Please Select")</formula>
    </cfRule>
  </conditionalFormatting>
  <conditionalFormatting sqref="BB99">
    <cfRule type="expression" dxfId="188" priority="1888">
      <formula>AND($H$67&gt;=5, $H$67&lt;&gt;"Please Select")</formula>
    </cfRule>
  </conditionalFormatting>
  <conditionalFormatting sqref="BB101:BD125">
    <cfRule type="expression" dxfId="187" priority="1890">
      <formula>AND($H$67&gt;=5, $H$67&lt;&gt;"Please Select")</formula>
    </cfRule>
  </conditionalFormatting>
  <conditionalFormatting sqref="BB47:BE47">
    <cfRule type="expression" dxfId="186" priority="2399">
      <formula>AND($H$16&gt;=5, $H$16&lt;&gt;"Please Select")</formula>
    </cfRule>
  </conditionalFormatting>
  <conditionalFormatting sqref="BB43:BF44">
    <cfRule type="expression" dxfId="185" priority="2401">
      <formula>AND($H$16&gt;=5, $H$16&lt;&gt;"Please Select")</formula>
    </cfRule>
  </conditionalFormatting>
  <conditionalFormatting sqref="BB100:BF100">
    <cfRule type="expression" dxfId="184" priority="1891">
      <formula>AND($H$67&gt;=5, $H$67&lt;&gt;"Please Select")</formula>
    </cfRule>
  </conditionalFormatting>
  <conditionalFormatting sqref="BB29:BH29">
    <cfRule type="expression" dxfId="183" priority="3054">
      <formula>AND($H$16&gt;=5, $H$16&lt;&gt;"Please Select")</formula>
    </cfRule>
  </conditionalFormatting>
  <conditionalFormatting sqref="BB85:BH85">
    <cfRule type="expression" dxfId="182" priority="2340">
      <formula>AND($H$67&gt;=5, $H$67&lt;&gt;"Please Select")</formula>
    </cfRule>
  </conditionalFormatting>
  <conditionalFormatting sqref="BB55:BJ55">
    <cfRule type="expression" dxfId="181" priority="3046">
      <formula>AND($H$16&gt;=5, $H$16&lt;&gt;"Please Select")</formula>
    </cfRule>
  </conditionalFormatting>
  <conditionalFormatting sqref="BB128:BJ128">
    <cfRule type="expression" dxfId="180" priority="2335">
      <formula>AND($H$67&gt;=5, $H$67&lt;&gt;"Please Select")</formula>
    </cfRule>
  </conditionalFormatting>
  <conditionalFormatting sqref="BB62:BN63">
    <cfRule type="expression" dxfId="179" priority="46">
      <formula>$H$16&gt;=5</formula>
    </cfRule>
  </conditionalFormatting>
  <conditionalFormatting sqref="BB137:BN138">
    <cfRule type="expression" dxfId="178" priority="13">
      <formula>$H67&gt;=5</formula>
    </cfRule>
  </conditionalFormatting>
  <conditionalFormatting sqref="BC4">
    <cfRule type="expression" dxfId="177" priority="6">
      <formula>BB4&lt;&gt;""</formula>
    </cfRule>
  </conditionalFormatting>
  <conditionalFormatting sqref="BC34:BD34">
    <cfRule type="expression" dxfId="176" priority="3053">
      <formula>AND($H$16&gt;=5, $H$16&lt;&gt;"Please Select")</formula>
    </cfRule>
  </conditionalFormatting>
  <conditionalFormatting sqref="BC90:BD90">
    <cfRule type="expression" dxfId="175" priority="2338">
      <formula>AND($H$67&gt;=5, $H$67&lt;&gt;"Please Select")</formula>
    </cfRule>
  </conditionalFormatting>
  <conditionalFormatting sqref="BC48:BE52">
    <cfRule type="expression" dxfId="174" priority="3047">
      <formula>AND($H$16&gt;=5, $H$16&lt;&gt;"Please Select")</formula>
    </cfRule>
  </conditionalFormatting>
  <conditionalFormatting sqref="BC31:BF33">
    <cfRule type="expression" dxfId="173" priority="2402">
      <formula>AND($H$16&gt;=5, $H$16&lt;&gt;"Please Select")</formula>
    </cfRule>
  </conditionalFormatting>
  <conditionalFormatting sqref="BC45:BF45">
    <cfRule type="expression" dxfId="172" priority="2400">
      <formula>AND($H$16&gt;=5, $H$16&lt;&gt;"Please Select")</formula>
    </cfRule>
  </conditionalFormatting>
  <conditionalFormatting sqref="BC87:BF89">
    <cfRule type="expression" dxfId="171" priority="2339">
      <formula>AND($H$67&gt;=5, $H$67&lt;&gt;"Please Select")</formula>
    </cfRule>
  </conditionalFormatting>
  <conditionalFormatting sqref="BD35">
    <cfRule type="expression" dxfId="170" priority="3051">
      <formula>AND($H$16&gt;=5, $H$16&lt;&gt;"Please Select")</formula>
    </cfRule>
  </conditionalFormatting>
  <conditionalFormatting sqref="BD91">
    <cfRule type="expression" dxfId="169" priority="2336">
      <formula>AND($H$67&gt;=5, $H$67&lt;&gt;"Please Select")</formula>
    </cfRule>
  </conditionalFormatting>
  <conditionalFormatting sqref="BD94:BE94">
    <cfRule type="expression" dxfId="168" priority="208">
      <formula>$BD$94="No"</formula>
    </cfRule>
  </conditionalFormatting>
  <conditionalFormatting sqref="BD94:BE95">
    <cfRule type="expression" dxfId="167" priority="209">
      <formula>AND($H$67&gt;=5, $H$67&lt;&gt;"Please Select")</formula>
    </cfRule>
  </conditionalFormatting>
  <conditionalFormatting sqref="BD98:BE98">
    <cfRule type="expression" dxfId="166" priority="454">
      <formula>AND($H$67&gt;=5, $H$67&lt;&gt;"Please Select")</formula>
    </cfRule>
  </conditionalFormatting>
  <conditionalFormatting sqref="BD37:BF37">
    <cfRule type="expression" dxfId="165" priority="3050">
      <formula>AND($H$16&gt;=5, $H$16&lt;&gt;"Please Select")</formula>
    </cfRule>
  </conditionalFormatting>
  <conditionalFormatting sqref="BE101">
    <cfRule type="expression" dxfId="164" priority="1886">
      <formula>BE$101="Pending"</formula>
    </cfRule>
  </conditionalFormatting>
  <conditionalFormatting sqref="BE101:BF125">
    <cfRule type="expression" dxfId="163" priority="1889">
      <formula>AND($H$67&gt;=5, $H$67&lt;&gt;"Please Select")</formula>
    </cfRule>
  </conditionalFormatting>
  <conditionalFormatting sqref="BE102:BF102">
    <cfRule type="expression" dxfId="162" priority="1884">
      <formula>BE$102="Pending"</formula>
    </cfRule>
  </conditionalFormatting>
  <conditionalFormatting sqref="BE103:BF103">
    <cfRule type="expression" dxfId="161" priority="1882">
      <formula>BE$103="Pending"</formula>
    </cfRule>
  </conditionalFormatting>
  <conditionalFormatting sqref="BE104:BF104">
    <cfRule type="expression" dxfId="160" priority="1880">
      <formula>BE$104="Pending"</formula>
    </cfRule>
  </conditionalFormatting>
  <conditionalFormatting sqref="BE105:BF105">
    <cfRule type="expression" dxfId="159" priority="1878">
      <formula>BE$105="Pending"</formula>
    </cfRule>
  </conditionalFormatting>
  <conditionalFormatting sqref="BE106:BF106">
    <cfRule type="expression" dxfId="158" priority="1876">
      <formula>BE$106="Pending"</formula>
    </cfRule>
  </conditionalFormatting>
  <conditionalFormatting sqref="BE107:BF107">
    <cfRule type="expression" dxfId="157" priority="1874">
      <formula>BE$107="Pending"</formula>
    </cfRule>
  </conditionalFormatting>
  <conditionalFormatting sqref="BE108:BF108">
    <cfRule type="expression" dxfId="156" priority="1872">
      <formula>BE$108="Pending"</formula>
    </cfRule>
  </conditionalFormatting>
  <conditionalFormatting sqref="BE109:BF109">
    <cfRule type="expression" dxfId="155" priority="1870">
      <formula>BE$109="Pending"</formula>
    </cfRule>
  </conditionalFormatting>
  <conditionalFormatting sqref="BE110:BF110">
    <cfRule type="expression" dxfId="154" priority="1868">
      <formula>BE$110="Pending"</formula>
    </cfRule>
  </conditionalFormatting>
  <conditionalFormatting sqref="BE111:BF111">
    <cfRule type="expression" dxfId="153" priority="1866">
      <formula>BE$111="Pending"</formula>
    </cfRule>
  </conditionalFormatting>
  <conditionalFormatting sqref="BE112:BF112">
    <cfRule type="expression" dxfId="152" priority="1864">
      <formula>BE$112="Pending"</formula>
    </cfRule>
  </conditionalFormatting>
  <conditionalFormatting sqref="BE113:BF113">
    <cfRule type="expression" dxfId="151" priority="1862">
      <formula>BE$113="Pending"</formula>
    </cfRule>
  </conditionalFormatting>
  <conditionalFormatting sqref="BE114:BF114">
    <cfRule type="expression" dxfId="150" priority="1860">
      <formula>BE$114="Pending"</formula>
    </cfRule>
  </conditionalFormatting>
  <conditionalFormatting sqref="BE115:BF115">
    <cfRule type="expression" dxfId="149" priority="1858">
      <formula>BE$115="Pending"</formula>
    </cfRule>
  </conditionalFormatting>
  <conditionalFormatting sqref="BE116:BF116">
    <cfRule type="expression" dxfId="148" priority="1856">
      <formula>BE$116="Pending"</formula>
    </cfRule>
  </conditionalFormatting>
  <conditionalFormatting sqref="BE117:BF117">
    <cfRule type="expression" dxfId="147" priority="1854">
      <formula>BE$117="Pending"</formula>
    </cfRule>
  </conditionalFormatting>
  <conditionalFormatting sqref="BE118:BF118">
    <cfRule type="expression" dxfId="146" priority="1852">
      <formula>BE$118="Pending"</formula>
    </cfRule>
  </conditionalFormatting>
  <conditionalFormatting sqref="BE119:BF119">
    <cfRule type="expression" dxfId="145" priority="1850">
      <formula>BE$119="Pending"</formula>
    </cfRule>
  </conditionalFormatting>
  <conditionalFormatting sqref="BE120:BF120">
    <cfRule type="expression" dxfId="144" priority="1848">
      <formula>BE$120="Pending"</formula>
    </cfRule>
  </conditionalFormatting>
  <conditionalFormatting sqref="BE121:BF121">
    <cfRule type="expression" dxfId="143" priority="1846">
      <formula>BE$121="Pending"</formula>
    </cfRule>
  </conditionalFormatting>
  <conditionalFormatting sqref="BE122:BF122">
    <cfRule type="expression" dxfId="142" priority="1844">
      <formula>BE$122="Pending"</formula>
    </cfRule>
  </conditionalFormatting>
  <conditionalFormatting sqref="BE123:BF123">
    <cfRule type="expression" dxfId="141" priority="1842">
      <formula>BE$123="Pending"</formula>
    </cfRule>
  </conditionalFormatting>
  <conditionalFormatting sqref="BE124:BF124">
    <cfRule type="expression" dxfId="140" priority="1840">
      <formula>BE$124="Pending"</formula>
    </cfRule>
  </conditionalFormatting>
  <conditionalFormatting sqref="BE125:BF125">
    <cfRule type="expression" dxfId="139" priority="1838">
      <formula>BE$125="Pending"</formula>
    </cfRule>
  </conditionalFormatting>
  <conditionalFormatting sqref="BE56:BJ56 BE59:BJ59">
    <cfRule type="expression" dxfId="138" priority="3044">
      <formula>AND($H$16&gt;=5, $H$16&lt;&gt;"Please Select")</formula>
    </cfRule>
  </conditionalFormatting>
  <conditionalFormatting sqref="BE57:BJ58">
    <cfRule type="expression" dxfId="137" priority="89">
      <formula>$BE$57&lt;&gt;""</formula>
    </cfRule>
  </conditionalFormatting>
  <conditionalFormatting sqref="BE129:BJ129 BE132:BJ132">
    <cfRule type="expression" dxfId="136" priority="2334">
      <formula>AND($H$67&gt;=5, $H$67&lt;&gt;"Please Select")</formula>
    </cfRule>
  </conditionalFormatting>
  <conditionalFormatting sqref="BE130:BJ131">
    <cfRule type="expression" dxfId="135" priority="60">
      <formula>$BE$130&lt;&gt;""</formula>
    </cfRule>
  </conditionalFormatting>
  <conditionalFormatting sqref="BF34">
    <cfRule type="expression" dxfId="134" priority="3052">
      <formula>AND($H$16&gt;=5, $H$16&lt;&gt;"Please Select")</formula>
    </cfRule>
  </conditionalFormatting>
  <conditionalFormatting sqref="BF38">
    <cfRule type="expression" dxfId="133" priority="218">
      <formula>$BF$38="Pending"</formula>
    </cfRule>
    <cfRule type="expression" dxfId="132" priority="3049">
      <formula>AND($H$16&gt;=5, $H$16&lt;&gt;"Please Select")</formula>
    </cfRule>
  </conditionalFormatting>
  <conditionalFormatting sqref="BF39">
    <cfRule type="expression" dxfId="131" priority="3045">
      <formula>BF$38&lt;&gt;""</formula>
    </cfRule>
  </conditionalFormatting>
  <conditionalFormatting sqref="BF90">
    <cfRule type="expression" dxfId="130" priority="2337">
      <formula>AND($H$67&gt;=5, $H$67&lt;&gt;"Please Select")</formula>
    </cfRule>
  </conditionalFormatting>
  <conditionalFormatting sqref="BG100:BH100">
    <cfRule type="expression" dxfId="129" priority="1887">
      <formula>BG$100&lt;&gt;""</formula>
    </cfRule>
  </conditionalFormatting>
  <conditionalFormatting sqref="BG101:BH101">
    <cfRule type="expression" dxfId="128" priority="1885">
      <formula>BE$101="Pending"</formula>
    </cfRule>
  </conditionalFormatting>
  <conditionalFormatting sqref="BG102:BH102">
    <cfRule type="expression" dxfId="127" priority="1883">
      <formula>BE$102="Pending"</formula>
    </cfRule>
  </conditionalFormatting>
  <conditionalFormatting sqref="BG103:BH103">
    <cfRule type="expression" dxfId="126" priority="1881">
      <formula>BE$103="Pending"</formula>
    </cfRule>
  </conditionalFormatting>
  <conditionalFormatting sqref="BG104:BH104">
    <cfRule type="expression" dxfId="125" priority="1879">
      <formula>BE$104="Pending"</formula>
    </cfRule>
  </conditionalFormatting>
  <conditionalFormatting sqref="BG105:BH105">
    <cfRule type="expression" dxfId="124" priority="1877">
      <formula>BE$105="Pending"</formula>
    </cfRule>
  </conditionalFormatting>
  <conditionalFormatting sqref="BG106:BH106">
    <cfRule type="expression" dxfId="123" priority="1875">
      <formula>BE$106="Pending"</formula>
    </cfRule>
  </conditionalFormatting>
  <conditionalFormatting sqref="BG107:BH107">
    <cfRule type="expression" dxfId="122" priority="1873">
      <formula>BE$107="Pending"</formula>
    </cfRule>
  </conditionalFormatting>
  <conditionalFormatting sqref="BG108:BH108">
    <cfRule type="expression" dxfId="121" priority="1871">
      <formula>BE$108="Pending"</formula>
    </cfRule>
  </conditionalFormatting>
  <conditionalFormatting sqref="BG109:BH109">
    <cfRule type="expression" dxfId="120" priority="1869">
      <formula>BE$109="Pending"</formula>
    </cfRule>
  </conditionalFormatting>
  <conditionalFormatting sqref="BG110:BH110">
    <cfRule type="expression" dxfId="119" priority="1867">
      <formula>BE$110="Pending"</formula>
    </cfRule>
  </conditionalFormatting>
  <conditionalFormatting sqref="BG111:BH111">
    <cfRule type="expression" dxfId="118" priority="1865">
      <formula>BE$111="Pending"</formula>
    </cfRule>
  </conditionalFormatting>
  <conditionalFormatting sqref="BG112:BH112">
    <cfRule type="expression" dxfId="117" priority="1863">
      <formula>BE$112="Pending"</formula>
    </cfRule>
  </conditionalFormatting>
  <conditionalFormatting sqref="BG113:BH113">
    <cfRule type="expression" dxfId="116" priority="1861">
      <formula>BE$113="Pending"</formula>
    </cfRule>
  </conditionalFormatting>
  <conditionalFormatting sqref="BG114:BH114">
    <cfRule type="expression" dxfId="115" priority="1859">
      <formula>BE$114="Pending"</formula>
    </cfRule>
  </conditionalFormatting>
  <conditionalFormatting sqref="BG115:BH115">
    <cfRule type="expression" dxfId="114" priority="1857">
      <formula>BE$115="Pending"</formula>
    </cfRule>
  </conditionalFormatting>
  <conditionalFormatting sqref="BG116:BH116">
    <cfRule type="expression" dxfId="113" priority="1855">
      <formula>BE$116="Pending"</formula>
    </cfRule>
  </conditionalFormatting>
  <conditionalFormatting sqref="BG117:BH117">
    <cfRule type="expression" dxfId="112" priority="1853">
      <formula>BE$117="Pending"</formula>
    </cfRule>
  </conditionalFormatting>
  <conditionalFormatting sqref="BG118:BH118">
    <cfRule type="expression" dxfId="111" priority="1851">
      <formula>BE$118="Pending"</formula>
    </cfRule>
  </conditionalFormatting>
  <conditionalFormatting sqref="BG119:BH119">
    <cfRule type="expression" dxfId="110" priority="1849">
      <formula>BE$119="Pending"</formula>
    </cfRule>
  </conditionalFormatting>
  <conditionalFormatting sqref="BG120:BH120">
    <cfRule type="expression" dxfId="109" priority="1847">
      <formula>BE$120="Pending"</formula>
    </cfRule>
  </conditionalFormatting>
  <conditionalFormatting sqref="BG121:BH121">
    <cfRule type="expression" dxfId="108" priority="1845">
      <formula>BE$121="Pending"</formula>
    </cfRule>
  </conditionalFormatting>
  <conditionalFormatting sqref="BG122:BH122">
    <cfRule type="expression" dxfId="107" priority="1843">
      <formula>BE$122="Pending"</formula>
    </cfRule>
  </conditionalFormatting>
  <conditionalFormatting sqref="BG123:BH123">
    <cfRule type="expression" dxfId="106" priority="1841">
      <formula>BE$123="Pending"</formula>
    </cfRule>
  </conditionalFormatting>
  <conditionalFormatting sqref="BG124:BH124">
    <cfRule type="expression" dxfId="105" priority="1839">
      <formula>BE$124="Pending"</formula>
    </cfRule>
  </conditionalFormatting>
  <conditionalFormatting sqref="BG125:BH125">
    <cfRule type="expression" dxfId="104" priority="1837">
      <formula>BE$125="Pending"</formula>
    </cfRule>
  </conditionalFormatting>
  <conditionalFormatting sqref="BI31:BL32">
    <cfRule type="expression" dxfId="103" priority="2477">
      <formula>BI$31&lt;&gt;""</formula>
    </cfRule>
  </conditionalFormatting>
  <conditionalFormatting sqref="BI87:BL88">
    <cfRule type="expression" dxfId="102" priority="2341">
      <formula>BI$87&lt;&gt;""</formula>
    </cfRule>
  </conditionalFormatting>
  <conditionalFormatting sqref="BK59:BN59">
    <cfRule type="expression" dxfId="101" priority="402">
      <formula>BK59&lt;&gt;""</formula>
    </cfRule>
  </conditionalFormatting>
  <conditionalFormatting sqref="BK132:BN132">
    <cfRule type="expression" dxfId="100" priority="393">
      <formula>BK132&lt;&gt;""</formula>
    </cfRule>
  </conditionalFormatting>
  <conditionalFormatting sqref="BL4">
    <cfRule type="expression" dxfId="99" priority="5">
      <formula>BK4&lt;&gt;""</formula>
    </cfRule>
  </conditionalFormatting>
  <conditionalFormatting sqref="BO45">
    <cfRule type="expression" dxfId="98" priority="3037">
      <formula>AND($H$16&gt;=6, $H$16&lt;&gt;"Please Select")</formula>
    </cfRule>
  </conditionalFormatting>
  <conditionalFormatting sqref="BO48:BO52">
    <cfRule type="expression" dxfId="97" priority="2403">
      <formula>AND($H$16&gt;=6, $H$16&lt;&gt;"Please Select")</formula>
    </cfRule>
  </conditionalFormatting>
  <conditionalFormatting sqref="BO99">
    <cfRule type="expression" dxfId="96" priority="1833">
      <formula>AND($H$67&gt;=6, $H$67&lt;&gt;"Please Select")</formula>
    </cfRule>
  </conditionalFormatting>
  <conditionalFormatting sqref="BO101:BQ125">
    <cfRule type="expression" dxfId="95" priority="1835">
      <formula>AND($H$67&gt;=6, $H$67&lt;&gt;"Please Select")</formula>
    </cfRule>
  </conditionalFormatting>
  <conditionalFormatting sqref="BO47:BR47">
    <cfRule type="expression" dxfId="94" priority="2404">
      <formula>AND($H$16&gt;=6, $H$16&lt;&gt;"Please Select")</formula>
    </cfRule>
  </conditionalFormatting>
  <conditionalFormatting sqref="BO43:BS44">
    <cfRule type="expression" dxfId="93" priority="2406">
      <formula>AND($H$16&gt;=6, $H$16&lt;&gt;"Please Select")</formula>
    </cfRule>
  </conditionalFormatting>
  <conditionalFormatting sqref="BO100:BS100">
    <cfRule type="expression" dxfId="92" priority="1836">
      <formula>AND($H$67&gt;=6, $H$67&lt;&gt;"Please Select")</formula>
    </cfRule>
  </conditionalFormatting>
  <conditionalFormatting sqref="BO29:BU29">
    <cfRule type="expression" dxfId="91" priority="3043">
      <formula>AND($H$16&gt;=6, $H$16&lt;&gt;"Please Select")</formula>
    </cfRule>
  </conditionalFormatting>
  <conditionalFormatting sqref="BO85:BU85">
    <cfRule type="expression" dxfId="90" priority="2331">
      <formula>AND($H$67&gt;=6, $H$67&lt;&gt;"Please Select")</formula>
    </cfRule>
  </conditionalFormatting>
  <conditionalFormatting sqref="BO55:BW55">
    <cfRule type="expression" dxfId="89" priority="3034">
      <formula>AND($H$16&gt;=6, $H$16&lt;&gt;"Please Select")</formula>
    </cfRule>
  </conditionalFormatting>
  <conditionalFormatting sqref="BO128:BW128">
    <cfRule type="expression" dxfId="88" priority="2326">
      <formula>AND($H$67&gt;=6, $H$67&lt;&gt;"Please Select")</formula>
    </cfRule>
  </conditionalFormatting>
  <conditionalFormatting sqref="BO62:CB63">
    <cfRule type="expression" dxfId="87" priority="47">
      <formula>$H$16=6</formula>
    </cfRule>
  </conditionalFormatting>
  <conditionalFormatting sqref="BO137:CB138">
    <cfRule type="expression" dxfId="86" priority="14">
      <formula>$H67&gt;=6</formula>
    </cfRule>
  </conditionalFormatting>
  <conditionalFormatting sqref="BP34:BQ34">
    <cfRule type="expression" dxfId="85" priority="3042">
      <formula>AND($H$16&gt;=6, $H$16&lt;&gt;"Please Select")</formula>
    </cfRule>
  </conditionalFormatting>
  <conditionalFormatting sqref="BP90:BQ90">
    <cfRule type="expression" dxfId="84" priority="2329">
      <formula>AND($H$67&gt;=6, $H$67&lt;&gt;"Please Select")</formula>
    </cfRule>
  </conditionalFormatting>
  <conditionalFormatting sqref="BP48:BR52">
    <cfRule type="expression" dxfId="83" priority="3035">
      <formula>AND($H$16&gt;=6, $H$16&lt;&gt;"Please Select")</formula>
    </cfRule>
  </conditionalFormatting>
  <conditionalFormatting sqref="BP31:BS33">
    <cfRule type="expression" dxfId="82" priority="2407">
      <formula>AND($H$16&gt;=6, $H$16&lt;&gt;"Please Select")</formula>
    </cfRule>
  </conditionalFormatting>
  <conditionalFormatting sqref="BP45:BS45">
    <cfRule type="expression" dxfId="81" priority="2405">
      <formula>AND($H$16&gt;=6, $H$16&lt;&gt;"Please Select")</formula>
    </cfRule>
  </conditionalFormatting>
  <conditionalFormatting sqref="BP87:BS89">
    <cfRule type="expression" dxfId="80" priority="2330">
      <formula>AND($H$67&gt;=6, $H$67&lt;&gt;"Please Select")</formula>
    </cfRule>
  </conditionalFormatting>
  <conditionalFormatting sqref="BQ35">
    <cfRule type="expression" dxfId="79" priority="3040">
      <formula>AND($H$16&gt;=6, $H$16&lt;&gt;"Please Select")</formula>
    </cfRule>
  </conditionalFormatting>
  <conditionalFormatting sqref="BQ91">
    <cfRule type="expression" dxfId="78" priority="2327">
      <formula>AND($H$67&gt;=6, $H$67&lt;&gt;"Please Select")</formula>
    </cfRule>
  </conditionalFormatting>
  <conditionalFormatting sqref="BQ94:BR94">
    <cfRule type="expression" dxfId="77" priority="206">
      <formula>$BQ$94="No"</formula>
    </cfRule>
  </conditionalFormatting>
  <conditionalFormatting sqref="BQ94:BR95">
    <cfRule type="expression" dxfId="76" priority="207">
      <formula>AND($H$67&gt;=6, $H$67&lt;&gt;"Please Select")</formula>
    </cfRule>
  </conditionalFormatting>
  <conditionalFormatting sqref="BQ98:BR98">
    <cfRule type="expression" dxfId="75" priority="453">
      <formula>AND($H$67&gt;=6, $H$67&lt;&gt;"Please Select")</formula>
    </cfRule>
  </conditionalFormatting>
  <conditionalFormatting sqref="BQ37:BS37">
    <cfRule type="expression" dxfId="74" priority="3039">
      <formula>AND($H$16&gt;=6, $H$16&lt;&gt;"Please Select")</formula>
    </cfRule>
  </conditionalFormatting>
  <conditionalFormatting sqref="BR101">
    <cfRule type="expression" dxfId="73" priority="1831">
      <formula>BR$101="Pending"</formula>
    </cfRule>
  </conditionalFormatting>
  <conditionalFormatting sqref="BR101:BS125">
    <cfRule type="expression" dxfId="72" priority="1834">
      <formula>AND($H$67&gt;=6, $H$67&lt;&gt;"Please Select")</formula>
    </cfRule>
  </conditionalFormatting>
  <conditionalFormatting sqref="BR102:BS102">
    <cfRule type="expression" dxfId="71" priority="1829">
      <formula>BR$102="Pending"</formula>
    </cfRule>
  </conditionalFormatting>
  <conditionalFormatting sqref="BR103:BS103">
    <cfRule type="expression" dxfId="70" priority="1827">
      <formula>BR$103="Pending"</formula>
    </cfRule>
  </conditionalFormatting>
  <conditionalFormatting sqref="BR104:BS104">
    <cfRule type="expression" dxfId="69" priority="1825">
      <formula>BR$104="Pending"</formula>
    </cfRule>
  </conditionalFormatting>
  <conditionalFormatting sqref="BR105:BS105">
    <cfRule type="expression" dxfId="68" priority="1823">
      <formula>BR$105="Pending"</formula>
    </cfRule>
  </conditionalFormatting>
  <conditionalFormatting sqref="BR106:BS106">
    <cfRule type="expression" dxfId="67" priority="1821">
      <formula>BR$106="Pending"</formula>
    </cfRule>
  </conditionalFormatting>
  <conditionalFormatting sqref="BR107:BS107">
    <cfRule type="expression" dxfId="66" priority="1819">
      <formula>BR$107="Pending"</formula>
    </cfRule>
  </conditionalFormatting>
  <conditionalFormatting sqref="BR108:BS108">
    <cfRule type="expression" dxfId="65" priority="1817">
      <formula>BR$108="Pending"</formula>
    </cfRule>
  </conditionalFormatting>
  <conditionalFormatting sqref="BR109:BS109">
    <cfRule type="expression" dxfId="64" priority="1815">
      <formula>BR$109="Pending"</formula>
    </cfRule>
  </conditionalFormatting>
  <conditionalFormatting sqref="BR110:BS110">
    <cfRule type="expression" dxfId="63" priority="1813">
      <formula>BR$110="Pending"</formula>
    </cfRule>
  </conditionalFormatting>
  <conditionalFormatting sqref="BR111:BS111">
    <cfRule type="expression" dxfId="62" priority="1811">
      <formula>BR$111="Pending"</formula>
    </cfRule>
  </conditionalFormatting>
  <conditionalFormatting sqref="BR112:BS112">
    <cfRule type="expression" dxfId="61" priority="1809">
      <formula>BR$112="Pending"</formula>
    </cfRule>
  </conditionalFormatting>
  <conditionalFormatting sqref="BR113:BS113">
    <cfRule type="expression" dxfId="60" priority="1807">
      <formula>BR$113="Pending"</formula>
    </cfRule>
  </conditionalFormatting>
  <conditionalFormatting sqref="BR114:BS114">
    <cfRule type="expression" dxfId="59" priority="1805">
      <formula>BR$114="Pending"</formula>
    </cfRule>
  </conditionalFormatting>
  <conditionalFormatting sqref="BR115:BS115">
    <cfRule type="expression" dxfId="58" priority="1803">
      <formula>BR$115="Pending"</formula>
    </cfRule>
  </conditionalFormatting>
  <conditionalFormatting sqref="BR116:BS116">
    <cfRule type="expression" dxfId="57" priority="1801">
      <formula>BR$116="Pending"</formula>
    </cfRule>
  </conditionalFormatting>
  <conditionalFormatting sqref="BR117:BS117">
    <cfRule type="expression" dxfId="56" priority="1799">
      <formula>BR$117="Pending"</formula>
    </cfRule>
  </conditionalFormatting>
  <conditionalFormatting sqref="BR118:BS118">
    <cfRule type="expression" dxfId="55" priority="1797">
      <formula>BR$118="Pending"</formula>
    </cfRule>
  </conditionalFormatting>
  <conditionalFormatting sqref="BR119:BS119">
    <cfRule type="expression" dxfId="54" priority="1795">
      <formula>BR$119="Pending"</formula>
    </cfRule>
  </conditionalFormatting>
  <conditionalFormatting sqref="BR120:BS120">
    <cfRule type="expression" dxfId="53" priority="1793">
      <formula>BR$120="Pending"</formula>
    </cfRule>
  </conditionalFormatting>
  <conditionalFormatting sqref="BR121:BS121">
    <cfRule type="expression" dxfId="52" priority="1791">
      <formula>BR$121="Pending"</formula>
    </cfRule>
  </conditionalFormatting>
  <conditionalFormatting sqref="BR122:BS122">
    <cfRule type="expression" dxfId="51" priority="1789">
      <formula>BR$122="Pending"</formula>
    </cfRule>
  </conditionalFormatting>
  <conditionalFormatting sqref="BR123:BS123">
    <cfRule type="expression" dxfId="50" priority="1787">
      <formula>BR$123="Pending"</formula>
    </cfRule>
  </conditionalFormatting>
  <conditionalFormatting sqref="BR124:BS124">
    <cfRule type="expression" dxfId="49" priority="1785">
      <formula>BR$124="Pending"</formula>
    </cfRule>
  </conditionalFormatting>
  <conditionalFormatting sqref="BR125:BS125">
    <cfRule type="expression" dxfId="48" priority="1783">
      <formula>BR$125="Pending"</formula>
    </cfRule>
  </conditionalFormatting>
  <conditionalFormatting sqref="BR56:BW56 BR59:BW59">
    <cfRule type="expression" dxfId="47" priority="3032">
      <formula>AND($H$16&gt;=6, $H$16&lt;&gt;"Please Select")</formula>
    </cfRule>
  </conditionalFormatting>
  <conditionalFormatting sqref="BR57:BW58">
    <cfRule type="expression" dxfId="46" priority="90">
      <formula>$BR$57&lt;&gt;""</formula>
    </cfRule>
  </conditionalFormatting>
  <conditionalFormatting sqref="BR129:BW129 BR132:BW132">
    <cfRule type="expression" dxfId="45" priority="2325">
      <formula>AND($H$67&gt;=6, $H$67&lt;&gt;"Please Select")</formula>
    </cfRule>
  </conditionalFormatting>
  <conditionalFormatting sqref="BR130:BW131">
    <cfRule type="expression" dxfId="44" priority="61">
      <formula>$BR$130&lt;&gt;""</formula>
    </cfRule>
  </conditionalFormatting>
  <conditionalFormatting sqref="BS34">
    <cfRule type="expression" dxfId="43" priority="3041">
      <formula>AND($H$16&gt;=6, $H$16&lt;&gt;"Please Select")</formula>
    </cfRule>
  </conditionalFormatting>
  <conditionalFormatting sqref="BS38">
    <cfRule type="expression" dxfId="42" priority="219">
      <formula>$BS$38="Pending"</formula>
    </cfRule>
    <cfRule type="expression" dxfId="41" priority="3038">
      <formula>AND($H$16&gt;=6, $H$16&lt;&gt;"Please Select")</formula>
    </cfRule>
  </conditionalFormatting>
  <conditionalFormatting sqref="BS39">
    <cfRule type="expression" dxfId="40" priority="3033">
      <formula>BS$38&lt;&gt;""</formula>
    </cfRule>
  </conditionalFormatting>
  <conditionalFormatting sqref="BS90">
    <cfRule type="expression" dxfId="39" priority="2328">
      <formula>AND($H$67&gt;=6, $H$67&lt;&gt;"Please Select")</formula>
    </cfRule>
  </conditionalFormatting>
  <conditionalFormatting sqref="BT100:BU100">
    <cfRule type="expression" dxfId="38" priority="1832">
      <formula>BT$100&lt;&gt;""</formula>
    </cfRule>
  </conditionalFormatting>
  <conditionalFormatting sqref="BT101:BU101">
    <cfRule type="expression" dxfId="37" priority="1830">
      <formula>BR$101="Pending"</formula>
    </cfRule>
  </conditionalFormatting>
  <conditionalFormatting sqref="BT102:BU102">
    <cfRule type="expression" dxfId="36" priority="1828">
      <formula>BR$102="Pending"</formula>
    </cfRule>
  </conditionalFormatting>
  <conditionalFormatting sqref="BT103:BU103">
    <cfRule type="expression" dxfId="35" priority="1826">
      <formula>BR$103="Pending"</formula>
    </cfRule>
  </conditionalFormatting>
  <conditionalFormatting sqref="BT104:BU104">
    <cfRule type="expression" dxfId="34" priority="1824">
      <formula>BR$104="Pending"</formula>
    </cfRule>
  </conditionalFormatting>
  <conditionalFormatting sqref="BT105:BU105">
    <cfRule type="expression" dxfId="33" priority="1822">
      <formula>BR$105="Pending"</formula>
    </cfRule>
  </conditionalFormatting>
  <conditionalFormatting sqref="BT106:BU106">
    <cfRule type="expression" dxfId="32" priority="1820">
      <formula>BR$106="Pending"</formula>
    </cfRule>
  </conditionalFormatting>
  <conditionalFormatting sqref="BT107:BU107">
    <cfRule type="expression" dxfId="31" priority="1818">
      <formula>BR$107="Pending"</formula>
    </cfRule>
  </conditionalFormatting>
  <conditionalFormatting sqref="BT108:BU108">
    <cfRule type="expression" dxfId="30" priority="1816">
      <formula>BR$108="Pending"</formula>
    </cfRule>
  </conditionalFormatting>
  <conditionalFormatting sqref="BT109:BU109">
    <cfRule type="expression" dxfId="29" priority="1814">
      <formula>BR$109="Pending"</formula>
    </cfRule>
  </conditionalFormatting>
  <conditionalFormatting sqref="BT110:BU110">
    <cfRule type="expression" dxfId="28" priority="1812">
      <formula>BR$110="Pending"</formula>
    </cfRule>
  </conditionalFormatting>
  <conditionalFormatting sqref="BT111:BU111">
    <cfRule type="expression" dxfId="27" priority="1810">
      <formula>BR$111="Pending"</formula>
    </cfRule>
  </conditionalFormatting>
  <conditionalFormatting sqref="BT112:BU112">
    <cfRule type="expression" dxfId="26" priority="1808">
      <formula>BR$112="Pending"</formula>
    </cfRule>
  </conditionalFormatting>
  <conditionalFormatting sqref="BT113:BU113">
    <cfRule type="expression" dxfId="25" priority="1806">
      <formula>BR$113="Pending"</formula>
    </cfRule>
  </conditionalFormatting>
  <conditionalFormatting sqref="BT114:BU114">
    <cfRule type="expression" dxfId="24" priority="1804">
      <formula>BR$114="Pending"</formula>
    </cfRule>
  </conditionalFormatting>
  <conditionalFormatting sqref="BT115:BU115">
    <cfRule type="expression" dxfId="23" priority="1802">
      <formula>BR$115="Pending"</formula>
    </cfRule>
  </conditionalFormatting>
  <conditionalFormatting sqref="BT116:BU116">
    <cfRule type="expression" dxfId="22" priority="1800">
      <formula>BR$116="Pending"</formula>
    </cfRule>
  </conditionalFormatting>
  <conditionalFormatting sqref="BT117:BU117">
    <cfRule type="expression" dxfId="21" priority="1798">
      <formula>BR$117="Pending"</formula>
    </cfRule>
  </conditionalFormatting>
  <conditionalFormatting sqref="BT118:BU118">
    <cfRule type="expression" dxfId="20" priority="1796">
      <formula>BR$118="Pending"</formula>
    </cfRule>
  </conditionalFormatting>
  <conditionalFormatting sqref="BT119:BU119">
    <cfRule type="expression" dxfId="19" priority="1794">
      <formula>BR$119="Pending"</formula>
    </cfRule>
  </conditionalFormatting>
  <conditionalFormatting sqref="BT120:BU120">
    <cfRule type="expression" dxfId="18" priority="1792">
      <formula>BR$120="Pending"</formula>
    </cfRule>
  </conditionalFormatting>
  <conditionalFormatting sqref="BT121:BU121">
    <cfRule type="expression" dxfId="17" priority="1790">
      <formula>BR$121="Pending"</formula>
    </cfRule>
  </conditionalFormatting>
  <conditionalFormatting sqref="BT122:BU122">
    <cfRule type="expression" dxfId="16" priority="1788">
      <formula>BR$122="Pending"</formula>
    </cfRule>
  </conditionalFormatting>
  <conditionalFormatting sqref="BT123:BU123">
    <cfRule type="expression" dxfId="15" priority="1786">
      <formula>BR$123="Pending"</formula>
    </cfRule>
  </conditionalFormatting>
  <conditionalFormatting sqref="BT124:BU124">
    <cfRule type="expression" dxfId="14" priority="1784">
      <formula>BR$124="Pending"</formula>
    </cfRule>
  </conditionalFormatting>
  <conditionalFormatting sqref="BT125:BU125">
    <cfRule type="expression" dxfId="13" priority="1782">
      <formula>BR$125="Pending"</formula>
    </cfRule>
  </conditionalFormatting>
  <conditionalFormatting sqref="BU4">
    <cfRule type="expression" dxfId="12" priority="4">
      <formula>BT4&lt;&gt;""</formula>
    </cfRule>
  </conditionalFormatting>
  <conditionalFormatting sqref="BV31:BY32">
    <cfRule type="expression" dxfId="11" priority="2476">
      <formula>BV$31&lt;&gt;""</formula>
    </cfRule>
  </conditionalFormatting>
  <conditionalFormatting sqref="BV87:BY88">
    <cfRule type="expression" dxfId="10" priority="2332">
      <formula>BV$87&lt;&gt;""</formula>
    </cfRule>
  </conditionalFormatting>
  <conditionalFormatting sqref="BX59:CA59">
    <cfRule type="expression" dxfId="9" priority="427">
      <formula>BX59&lt;&gt;""</formula>
    </cfRule>
  </conditionalFormatting>
  <conditionalFormatting sqref="BX132:CA132">
    <cfRule type="expression" dxfId="8" priority="2382">
      <formula>BX132&lt;&gt;""</formula>
    </cfRule>
  </conditionalFormatting>
  <conditionalFormatting sqref="CB56:CC58">
    <cfRule type="expression" dxfId="7" priority="3111">
      <formula>#REF!&lt;&gt;""</formula>
    </cfRule>
  </conditionalFormatting>
  <conditionalFormatting sqref="CB128:CC131">
    <cfRule type="expression" dxfId="6" priority="3114">
      <formula>#REF!&lt;&gt;""</formula>
    </cfRule>
  </conditionalFormatting>
  <conditionalFormatting sqref="CB31:CE32">
    <cfRule type="expression" dxfId="5" priority="2452">
      <formula>CB$31&lt;&gt;""</formula>
    </cfRule>
  </conditionalFormatting>
  <conditionalFormatting sqref="CB87:CE88">
    <cfRule type="expression" dxfId="4" priority="2116">
      <formula>CB$87&lt;&gt;""</formula>
    </cfRule>
  </conditionalFormatting>
  <conditionalFormatting sqref="CD4">
    <cfRule type="expression" dxfId="3" priority="3">
      <formula>CC4&lt;&gt;""</formula>
    </cfRule>
  </conditionalFormatting>
  <conditionalFormatting sqref="CM4">
    <cfRule type="expression" dxfId="2" priority="2">
      <formula>CL4&lt;&gt;""</formula>
    </cfRule>
  </conditionalFormatting>
  <conditionalFormatting sqref="CV4">
    <cfRule type="expression" dxfId="1" priority="1">
      <formula>CU4&lt;&gt;""</formula>
    </cfRule>
  </conditionalFormatting>
  <dataValidations count="8">
    <dataValidation type="list" allowBlank="1" showInputMessage="1" showErrorMessage="1" sqref="H145" xr:uid="{5232EDBD-CDF7-436C-A479-5B4583605B20}">
      <formula1>"1,2,3"</formula1>
    </dataValidation>
    <dataValidation type="list" allowBlank="1" showInputMessage="1" showErrorMessage="1" sqref="H143" xr:uid="{8790AE8C-D23C-4404-8C38-C84CB86E7234}">
      <formula1>"Please Select, Yes, No"</formula1>
    </dataValidation>
    <dataValidation type="list" allowBlank="1" showInputMessage="1" showErrorMessage="1" sqref="D94:E94 Q94:R94 AQ94:AR94 AD94:AE94 BD94:BE94 BQ94:BR94" xr:uid="{C1349B94-DEA6-4C2C-817F-C7D4B7FC4025}">
      <formula1>"Yes, No"</formula1>
    </dataValidation>
    <dataValidation type="list" allowBlank="1" showInputMessage="1" showErrorMessage="1" sqref="H67 H16" xr:uid="{7637843C-7F49-4B88-BF9F-2B38334325C3}">
      <formula1>"0,1,2,3,4,5,6"</formula1>
    </dataValidation>
    <dataValidation type="list" allowBlank="1" showInputMessage="1" showErrorMessage="1" sqref="F38 S38 AF38 AS38 BF38 BS38 F162 S162 AF162" xr:uid="{68B53D2E-38AF-4845-832E-6111B75BF98C}">
      <formula1>"Yes, Pending"</formula1>
    </dataValidation>
    <dataValidation type="list" allowBlank="1" showInputMessage="1" showErrorMessage="1" sqref="B48:B52 O48:O52 AB48:AB52 AO48:AO52 BB48:BB52 BO48:BO52" xr:uid="{226A8718-2C76-47F5-A699-DA4C8279BF7F}">
      <formula1>"None, Operating Room, CCU/ICU, Pediatrics, Psychiatry, Obstetrics"</formula1>
    </dataValidation>
    <dataValidation type="list" allowBlank="1" showInputMessage="1" showErrorMessage="1" sqref="I13" xr:uid="{42B5296F-A26B-4D3F-B600-A869E4B7B6D5}">
      <formula1>"Please Select, Yes"</formula1>
    </dataValidation>
    <dataValidation type="list" allowBlank="1" showInputMessage="1" showErrorMessage="1" sqref="F34 S34 AF34 AS34 BF34 BS34 F90 S90 AF90 AS90 BF90 BS90 F158 S158 AF158" xr:uid="{1FFA0692-EAE2-4D19-B10A-9D11F5BBA60C}">
      <formula1>"AK, AL, AR, AZ, CA, CO, CT, DC, DE, FL, GA, HI, IA, ID, IL, IN, KS, KY, LA, MA, MD, ME, MI, MN, MO, MS, MT, NC, ND, NE, NH, NJ, NM, NV, NY, OH, OK, OR, PA, RI, SC, SD, TN, TX, UT, VA, VT, WA, WI, WV, WY"</formula1>
    </dataValidation>
  </dataValidations>
  <hyperlinks>
    <hyperlink ref="BX132:CA132" location="'Standard III-Affiliates'!H139" display="'Standard III-Affiliates'!H139" xr:uid="{53266FB3-8025-428E-BB66-5DCF580B67ED}"/>
    <hyperlink ref="BK59:BN59" location="'Standard III-Affiliates'!I60" display="'Standard III-Affiliates'!I60" xr:uid="{CF98E475-2132-4321-B2F3-AD3DE1398BF6}"/>
    <hyperlink ref="AX59:BA59" location="'Standard III-Affiliates'!I60" display="'Standard III-Affiliates'!I60" xr:uid="{D3A78214-D6D2-46D5-9937-0E95245418DB}"/>
    <hyperlink ref="AK59:AN59" location="'Standard III-Affiliates'!I60" display="'Standard III-Affiliates'!I60" xr:uid="{04DDD23B-F99F-4FD1-9D2F-17966D3B1B68}"/>
    <hyperlink ref="X59:AA59" location="'Standard III-Affiliates'!I60" display="'Standard III-Affiliates'!I60" xr:uid="{C42F037A-B33F-45DB-BF47-0CFF4FA3CD74}"/>
    <hyperlink ref="X132:AA132" location="'Standard III-Affiliates'!H139" display="'Standard III-Affiliates'!H139" xr:uid="{F3A83605-4B78-4983-B6FA-AF0FA1B4319C}"/>
    <hyperlink ref="AK132:AN132" location="'Standard III-Affiliates'!H139" display="'Standard III-Affiliates'!H139" xr:uid="{71BA8AB8-2C14-453C-9DA3-E28D466D41E4}"/>
    <hyperlink ref="AX132:BA132" location="'Standard III-Affiliates'!H139" display="'Standard III-Affiliates'!H139" xr:uid="{3EEB3C76-EB34-48D3-B59A-600C35F0736D}"/>
    <hyperlink ref="BK132:BN132" location="'Standard III-Affiliates'!H139" display="'Standard III-Affiliates'!H139" xr:uid="{1A21C957-F1FD-40E7-88BF-3B2D5982CB90}"/>
    <hyperlink ref="X172:AA172" location="'Standard III-Preceptors'!B11" display="'Standard III-Preceptors'!B11" xr:uid="{B6AA464B-DD37-4FBD-A0CF-C6C6DC71D379}"/>
    <hyperlink ref="BX59:CA59" location="'Standard III-Affiliates'!I60" display="'Standard III-Affiliates'!I60" xr:uid="{D468A925-0ADD-4FE9-800F-3C57E083EA67}"/>
  </hyperlinks>
  <printOptions horizontalCentered="1" verticalCentered="1"/>
  <pageMargins left="0.25" right="0.25" top="0.25" bottom="0.25" header="0.3" footer="0.3"/>
  <pageSetup scale="84" fitToHeight="0" orientation="landscape" horizontalDpi="300" verticalDpi="300" r:id="rId1"/>
  <rowBreaks count="4" manualBreakCount="4">
    <brk id="28" max="16383" man="1"/>
    <brk id="53" max="16383" man="1"/>
    <brk id="60" max="391" man="1"/>
    <brk id="83" max="391" man="1"/>
  </rowBreaks>
  <colBreaks count="6" manualBreakCount="6">
    <brk id="14" max="1048575" man="1"/>
    <brk id="27" max="1048575" man="1"/>
    <brk id="40" max="1048575" man="1"/>
    <brk id="53" max="1048575" man="1"/>
    <brk id="66" max="1048575" man="1"/>
    <brk id="86" max="1048575" man="1"/>
  </colBreaks>
  <legacyDrawing r:id="rId2"/>
  <extLst>
    <ext xmlns:x14="http://schemas.microsoft.com/office/spreadsheetml/2009/9/main" uri="{78C0D931-6437-407d-A8EE-F0AAD7539E65}">
      <x14:conditionalFormattings>
        <x14:conditionalFormatting xmlns:xm="http://schemas.microsoft.com/office/excel/2006/main">
          <x14:cfRule type="expression" priority="26" id="{F1F1512E-5F2F-4D21-A1D3-6DB229280773}">
            <xm:f>AND('Program Info'!G70="Yes",H16=0,H16&lt;&gt;"")</xm:f>
            <x14:dxf>
              <font>
                <b/>
                <i val="0"/>
                <color rgb="FFC00000"/>
              </font>
              <numFmt numFmtId="0" formatCode="General"/>
              <fill>
                <patternFill>
                  <bgColor rgb="FFFFFF00"/>
                </patternFill>
              </fill>
            </x14:dxf>
          </x14:cfRule>
          <xm:sqref>B20:F20</xm:sqref>
        </x14:conditionalFormatting>
        <x14:conditionalFormatting xmlns:xm="http://schemas.microsoft.com/office/excel/2006/main">
          <x14:cfRule type="expression" priority="3115" id="{00000000-000E-0000-0300-00005F010000}">
            <xm:f>AND('Program Info'!G74="Yes",H143="No",OR(H15&gt;=1,H67&gt;=1))</xm:f>
            <x14:dxf>
              <font>
                <b/>
                <i val="0"/>
                <color auto="1"/>
              </font>
              <fill>
                <patternFill>
                  <bgColor theme="9" tint="0.59996337778862885"/>
                </patternFill>
              </fill>
            </x14:dxf>
          </x14:cfRule>
          <xm:sqref>B145:F145</xm:sqref>
        </x14:conditionalFormatting>
        <x14:conditionalFormatting xmlns:xm="http://schemas.microsoft.com/office/excel/2006/main">
          <x14:cfRule type="expression" priority="20" id="{DDBDD304-A277-4819-BBA1-002AD55C3C94}">
            <xm:f>'Program Info'!G70="No"</xm:f>
            <x14:dxf>
              <fill>
                <patternFill>
                  <bgColor theme="0" tint="-0.14996795556505021"/>
                </patternFill>
              </fill>
            </x14:dxf>
          </x14:cfRule>
          <x14:cfRule type="expression" priority="17" id="{37311398-E9F7-4E99-A05B-C66CC4ED6801}">
            <xm:f>'Program Info'!G70="Yes"</xm:f>
            <x14:dxf>
              <font>
                <b/>
                <i val="0"/>
                <color theme="0"/>
              </font>
              <fill>
                <patternFill>
                  <bgColor theme="4" tint="-0.24994659260841701"/>
                </patternFill>
              </fill>
            </x14:dxf>
          </x14:cfRule>
          <xm:sqref>B15:H15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Instructions</vt:lpstr>
      <vt:lpstr>Program Info</vt:lpstr>
      <vt:lpstr>Standards</vt:lpstr>
      <vt:lpstr>Affiliates</vt:lpstr>
      <vt:lpstr>Instaccred</vt:lpstr>
      <vt:lpstr>Affiliates!Print_Area</vt:lpstr>
      <vt:lpstr>Instructions!Print_Area</vt:lpstr>
      <vt:lpstr>'Program Info'!Print_Area</vt:lpstr>
      <vt:lpstr>Standards!Print_Area</vt:lpstr>
      <vt:lpstr>Standards!SCategory</vt:lpstr>
      <vt:lpstr>Sponsorcategory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Collard</dc:creator>
  <cp:lastModifiedBy>Lisa Collard</cp:lastModifiedBy>
  <cp:lastPrinted>2024-05-29T21:04:34Z</cp:lastPrinted>
  <dcterms:created xsi:type="dcterms:W3CDTF">2020-05-20T15:26:49Z</dcterms:created>
  <dcterms:modified xsi:type="dcterms:W3CDTF">2025-02-26T06:08:12Z</dcterms:modified>
</cp:coreProperties>
</file>