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mc:AlternateContent xmlns:mc="http://schemas.openxmlformats.org/markup-compatibility/2006">
    <mc:Choice Requires="x15">
      <x15ac:absPath xmlns:x15ac="http://schemas.microsoft.com/office/spreadsheetml/2010/11/ac" url="C:\Users\patri\Dropbox\~CoAEMSP\Projects\PD Development\Workshop Materials\Annual Report\"/>
    </mc:Choice>
  </mc:AlternateContent>
  <xr:revisionPtr revIDLastSave="0" documentId="13_ncr:1_{201167E1-5671-4A00-805E-ABBA5EA58A62}" xr6:coauthVersionLast="47" xr6:coauthVersionMax="47" xr10:uidLastSave="{00000000-0000-0000-0000-000000000000}"/>
  <bookViews>
    <workbookView xWindow="-110" yWindow="-110" windowWidth="19420" windowHeight="11500" xr2:uid="{00000000-000D-0000-FFFF-FFFF00000000}"/>
  </bookViews>
  <sheets>
    <sheet name="2023 Annual Report" sheetId="1" r:id="rId1"/>
    <sheet name="2023 Satellite(s)" sheetId="2" r:id="rId2"/>
  </sheets>
  <definedNames>
    <definedName name="_xlnm._FilterDatabase" localSheetId="0" hidden="1">'2023 Annual Report'!$A$1:$CE$421</definedName>
    <definedName name="_xlnm._FilterDatabase" localSheetId="1" hidden="1">'2023 Satellite(s)'!$A$1:$CE$127</definedName>
    <definedName name="Attrition">OFFSET('2023 Annual Report'!$A$49,0,0,28,'2023 Annual Report'!$S$16)</definedName>
    <definedName name="Cover">OFFSET('2023 Annual Report'!$A$1,0,0,47,'2023 Annual Report'!$S$15)</definedName>
    <definedName name="Dollar">'2023 Annual Report'!#REF!</definedName>
    <definedName name="Employer">OFFSET('2023 Annual Report'!$A$162,0,0,36,'2023 Annual Report'!$S$20)</definedName>
    <definedName name="Graduate">OFFSET('2023 Annual Report'!$A$125,0,0,35,'2023 Annual Report'!$S$19)</definedName>
    <definedName name="Last">OFFSET('2023 Annual Report'!$A$285,0,0,157,'2023 Annual Report'!$S$24)</definedName>
    <definedName name="Placement">OFFSET('2023 Annual Report'!$A$104,0,0,20,'2023 Annual Report'!$S$18)</definedName>
    <definedName name="_xlnm.Print_Area" localSheetId="0">Cover,Attrition,Written,Placement,Graduate,Employer,RAMCover,Last</definedName>
    <definedName name="_xlnm.Print_Area" localSheetId="1">'2023 Satellite(s)'!$A$1:$N$34,'2023 Satellite(s)'!$T$38:$AC$38,'2023 Satellite(s)'!$A$57:$N$125</definedName>
    <definedName name="RAMCover">OFFSET('2023 Annual Report'!$A$200,0,0,48,'2023 Annual Report'!$S$15)</definedName>
    <definedName name="Sat_Cohort" localSheetId="1">'2023 Satellite(s)'!$T$38:$AC$38</definedName>
    <definedName name="SATAttrition" localSheetId="1">OFFSET('2023 Satellite(s)'!$A$57,0,0,29,'2023 Satellite(s)'!$S$17)</definedName>
    <definedName name="SATCover" localSheetId="1">OFFSET('2023 Satellite(s)'!$A$1,0,0,34,'2023 Satellite(s)'!$S$16)</definedName>
    <definedName name="SATPlacement" localSheetId="1">OFFSET('2023 Satellite(s)'!$A$106,0,0,20,'2023 Satellite(s)'!$S$19)</definedName>
    <definedName name="SATWritten" localSheetId="1">OFFSET('2023 Satellite(s)'!$A$85,0,0,22,'2023 Satellite(s)'!$S$18)</definedName>
    <definedName name="Written">OFFSET('2023 Annual Report'!$A$79,0,0,22,'2023 Annual Report'!$S$17)</definedName>
    <definedName name="Z_993DF57F_A792_4998_A444_891BBBD74251_.wvu.PrintArea" localSheetId="0" hidden="1">'2023 Annual Report'!$A$1:$N$75,'2023 Annual Report'!$A$78:$CE$123</definedName>
    <definedName name="Z_993DF57F_A792_4998_A444_891BBBD74251_.wvu.PrintArea" localSheetId="1" hidden="1">'2023 Satellite(s)'!$A$1:$N$82,'2023 Satellite(s)'!$A$85:$CE$125</definedName>
  </definedNames>
  <calcPr calcId="191029"/>
  <customWorkbookViews>
    <customWorkbookView name="Print1" guid="{993DF57F-A792-4998-A444-891BBBD74251}" includeHiddenRowCol="0" maximized="1" windowWidth="1916" windowHeight="85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2" i="1" l="1"/>
  <c r="P393" i="1"/>
  <c r="O393" i="1"/>
  <c r="P376" i="1"/>
  <c r="O376" i="1"/>
  <c r="P347" i="1"/>
  <c r="C335" i="1"/>
  <c r="C334" i="1"/>
  <c r="B332" i="1"/>
  <c r="C338" i="1" l="1"/>
  <c r="S336" i="1"/>
  <c r="S342" i="1" s="1"/>
  <c r="R336" i="1"/>
  <c r="R342" i="1" s="1"/>
  <c r="Q336" i="1"/>
  <c r="Q342" i="1" s="1"/>
  <c r="P336" i="1"/>
  <c r="P342" i="1" s="1"/>
  <c r="O336" i="1"/>
  <c r="O342" i="1" s="1"/>
  <c r="N336" i="1"/>
  <c r="N342" i="1" s="1"/>
  <c r="M336" i="1"/>
  <c r="M342" i="1" s="1"/>
  <c r="L336" i="1"/>
  <c r="L342" i="1" s="1"/>
  <c r="K336" i="1"/>
  <c r="K342" i="1" s="1"/>
  <c r="J336" i="1"/>
  <c r="J342" i="1" s="1"/>
  <c r="I336" i="1"/>
  <c r="I342" i="1" s="1"/>
  <c r="H336" i="1"/>
  <c r="H342" i="1" s="1"/>
  <c r="G336" i="1"/>
  <c r="G342" i="1" s="1"/>
  <c r="F336" i="1"/>
  <c r="F342" i="1" s="1"/>
  <c r="E336" i="1"/>
  <c r="E342" i="1" s="1"/>
  <c r="C337" i="1"/>
  <c r="C339" i="1"/>
  <c r="B334" i="1"/>
  <c r="P332" i="1"/>
  <c r="O332" i="1" s="1"/>
  <c r="C332" i="1"/>
  <c r="E341" i="1" l="1"/>
  <c r="S340" i="1"/>
  <c r="R340" i="1"/>
  <c r="Q340" i="1"/>
  <c r="P340" i="1"/>
  <c r="N340" i="1"/>
  <c r="M340" i="1"/>
  <c r="L340" i="1"/>
  <c r="K340" i="1"/>
  <c r="J340" i="1"/>
  <c r="I340" i="1"/>
  <c r="H340" i="1"/>
  <c r="G340" i="1"/>
  <c r="F340" i="1"/>
  <c r="E340" i="1"/>
  <c r="D340" i="1"/>
  <c r="B328" i="1" l="1"/>
  <c r="B330" i="1"/>
  <c r="B7" i="1"/>
  <c r="P228" i="1"/>
  <c r="P210" i="1"/>
  <c r="P208" i="1"/>
  <c r="C227" i="1"/>
  <c r="C210" i="1" l="1"/>
  <c r="C208" i="1"/>
  <c r="C23" i="1" l="1"/>
  <c r="C24" i="2" s="1"/>
  <c r="C25" i="1"/>
  <c r="C37" i="1"/>
  <c r="B54" i="1" l="1"/>
  <c r="P81" i="1" l="1"/>
  <c r="P405" i="1"/>
  <c r="P407" i="1"/>
  <c r="O407" i="1" s="1"/>
  <c r="C407" i="1"/>
  <c r="P330" i="1" l="1"/>
  <c r="O340" i="1" l="1"/>
  <c r="G341" i="1" s="1"/>
  <c r="B343" i="1" s="1"/>
  <c r="D391" i="1" s="1"/>
  <c r="P308" i="1"/>
  <c r="C347" i="1" l="1"/>
  <c r="C345" i="1"/>
  <c r="C343" i="1"/>
  <c r="B395" i="1"/>
  <c r="B378" i="1"/>
  <c r="B374" i="1"/>
  <c r="C376" i="1" s="1"/>
  <c r="B372" i="1"/>
  <c r="B370" i="1"/>
  <c r="B368" i="1"/>
  <c r="B366" i="1"/>
  <c r="B364" i="1"/>
  <c r="B362" i="1"/>
  <c r="B360" i="1"/>
  <c r="B358" i="1"/>
  <c r="B356" i="1"/>
  <c r="B354" i="1"/>
  <c r="B352" i="1"/>
  <c r="B350" i="1"/>
  <c r="C341" i="1"/>
  <c r="P401" i="1"/>
  <c r="O401" i="1" s="1"/>
  <c r="P399" i="1"/>
  <c r="O399" i="1" s="1"/>
  <c r="P397" i="1"/>
  <c r="O397" i="1" s="1"/>
  <c r="P372" i="1"/>
  <c r="O372" i="1" s="1"/>
  <c r="P370" i="1"/>
  <c r="O370" i="1" s="1"/>
  <c r="P368" i="1"/>
  <c r="O368" i="1" s="1"/>
  <c r="P366" i="1"/>
  <c r="O366" i="1" s="1"/>
  <c r="C401" i="1"/>
  <c r="C399" i="1"/>
  <c r="C397" i="1"/>
  <c r="C395" i="1"/>
  <c r="D389" i="1"/>
  <c r="D387" i="1"/>
  <c r="D385" i="1"/>
  <c r="D383" i="1"/>
  <c r="D381" i="1"/>
  <c r="C378" i="1"/>
  <c r="C374" i="1"/>
  <c r="C372" i="1"/>
  <c r="C370" i="1"/>
  <c r="C368" i="1"/>
  <c r="C366" i="1"/>
  <c r="P360" i="1"/>
  <c r="O360" i="1" s="1"/>
  <c r="P358" i="1"/>
  <c r="O358" i="1" s="1"/>
  <c r="P356" i="1"/>
  <c r="O356" i="1" s="1"/>
  <c r="P354" i="1"/>
  <c r="O354" i="1" s="1"/>
  <c r="P352" i="1"/>
  <c r="O352" i="1" s="1"/>
  <c r="P350" i="1"/>
  <c r="O350" i="1" s="1"/>
  <c r="U340" i="1"/>
  <c r="P334" i="1" s="1"/>
  <c r="O334" i="1" l="1"/>
  <c r="J334" i="1"/>
  <c r="P391" i="1"/>
  <c r="O391" i="1" s="1"/>
  <c r="P389" i="1"/>
  <c r="O389" i="1" s="1"/>
  <c r="P387" i="1"/>
  <c r="O387" i="1" s="1"/>
  <c r="P385" i="1"/>
  <c r="O385" i="1" s="1"/>
  <c r="P383" i="1"/>
  <c r="O383" i="1" s="1"/>
  <c r="P381" i="1"/>
  <c r="O381" i="1" s="1"/>
  <c r="P374" i="1"/>
  <c r="O374" i="1" s="1"/>
  <c r="B87" i="1"/>
  <c r="C418" i="1"/>
  <c r="I37" i="1"/>
  <c r="P75" i="2"/>
  <c r="P74" i="2"/>
  <c r="P73" i="2"/>
  <c r="P70" i="2"/>
  <c r="P69" i="2"/>
  <c r="P68" i="2"/>
  <c r="P343" i="1" l="1"/>
  <c r="O343" i="1" s="1"/>
  <c r="C364" i="1"/>
  <c r="C362" i="1"/>
  <c r="C360" i="1"/>
  <c r="C358" i="1"/>
  <c r="C356" i="1"/>
  <c r="C354" i="1"/>
  <c r="C352" i="1"/>
  <c r="C350" i="1"/>
  <c r="I290" i="1"/>
  <c r="P362" i="1" l="1"/>
  <c r="P364" i="1"/>
  <c r="O364" i="1" s="1"/>
  <c r="G56" i="1"/>
  <c r="F56" i="1"/>
  <c r="E56" i="1"/>
  <c r="C46" i="1"/>
  <c r="C29" i="2" s="1"/>
  <c r="C39" i="1"/>
  <c r="C44" i="1"/>
  <c r="J208" i="1"/>
  <c r="C308" i="1"/>
  <c r="C306" i="1"/>
  <c r="C290" i="1"/>
  <c r="J210" i="1"/>
  <c r="C27" i="2" l="1"/>
  <c r="G27" i="2"/>
  <c r="G29" i="2"/>
  <c r="O330" i="1" l="1"/>
  <c r="O362" i="1"/>
  <c r="O228" i="1"/>
  <c r="O216" i="1" l="1"/>
  <c r="O215" i="1" s="1"/>
  <c r="P212" i="1"/>
  <c r="O212" i="1" s="1"/>
  <c r="O224" i="1"/>
  <c r="O223" i="1" s="1"/>
  <c r="O222" i="1"/>
  <c r="O221" i="1" s="1"/>
  <c r="O220" i="1"/>
  <c r="O219" i="1" s="1"/>
  <c r="O218" i="1"/>
  <c r="O217" i="1" s="1"/>
  <c r="H216" i="1"/>
  <c r="I223" i="1"/>
  <c r="I221" i="1"/>
  <c r="I219" i="1"/>
  <c r="I217" i="1"/>
  <c r="H220" i="1"/>
  <c r="H219" i="1" s="1"/>
  <c r="H222" i="1"/>
  <c r="H221" i="1" s="1"/>
  <c r="H224" i="1"/>
  <c r="H223" i="1" s="1"/>
  <c r="I215" i="1"/>
  <c r="H218" i="1"/>
  <c r="H217" i="1" s="1"/>
  <c r="C223" i="1"/>
  <c r="C221" i="1"/>
  <c r="C219" i="1"/>
  <c r="C217" i="1"/>
  <c r="C212" i="1"/>
  <c r="P44" i="1" l="1"/>
  <c r="O85" i="1" l="1"/>
  <c r="N84" i="1"/>
  <c r="O84" i="1" s="1"/>
  <c r="L56" i="1" l="1"/>
  <c r="K56" i="1"/>
  <c r="J56" i="1"/>
  <c r="I56" i="1"/>
  <c r="H56" i="1"/>
  <c r="C292" i="1" l="1"/>
  <c r="P290" i="1"/>
  <c r="P294" i="1"/>
  <c r="P296" i="1"/>
  <c r="O296" i="1" l="1"/>
  <c r="O294" i="1"/>
  <c r="G88" i="1" l="1"/>
  <c r="H111" i="1"/>
  <c r="E111" i="1"/>
  <c r="E92" i="2"/>
  <c r="F92" i="2"/>
  <c r="E91" i="2"/>
  <c r="F91" i="2"/>
  <c r="P37" i="1"/>
  <c r="H88" i="1" l="1"/>
  <c r="G111" i="1"/>
  <c r="E88" i="1"/>
  <c r="O325" i="1"/>
  <c r="C319" i="1" l="1"/>
  <c r="O323" i="1" l="1"/>
  <c r="G327" i="1"/>
  <c r="O347" i="1" s="1"/>
  <c r="C311" i="1"/>
  <c r="I327" i="1" l="1"/>
  <c r="P327" i="1" l="1"/>
  <c r="O327" i="1" s="1"/>
  <c r="M56" i="1"/>
  <c r="B169" i="1" l="1"/>
  <c r="M63" i="2" l="1"/>
  <c r="L63" i="2"/>
  <c r="K63" i="2"/>
  <c r="J63" i="2"/>
  <c r="I63" i="2"/>
  <c r="H63" i="2"/>
  <c r="G63" i="2"/>
  <c r="F63" i="2"/>
  <c r="E63" i="2"/>
  <c r="C405" i="1" l="1"/>
  <c r="G113" i="2" l="1"/>
  <c r="F113" i="2"/>
  <c r="E113" i="2"/>
  <c r="M113" i="2"/>
  <c r="L113" i="2"/>
  <c r="K113" i="2"/>
  <c r="J113" i="2"/>
  <c r="I113" i="2"/>
  <c r="H113" i="2"/>
  <c r="H90" i="2" l="1"/>
  <c r="G90" i="2"/>
  <c r="K90" i="2"/>
  <c r="L90" i="2"/>
  <c r="J90" i="2"/>
  <c r="E90" i="2"/>
  <c r="F90" i="2"/>
  <c r="I90" i="2"/>
  <c r="M90" i="2"/>
  <c r="O70" i="2" l="1"/>
  <c r="O68" i="2"/>
  <c r="B81" i="1" l="1"/>
  <c r="F76" i="2"/>
  <c r="D24" i="2" l="1"/>
  <c r="P46" i="1"/>
  <c r="P39" i="1"/>
  <c r="P31" i="2" l="1"/>
  <c r="M111" i="1"/>
  <c r="M88" i="1"/>
  <c r="O46" i="1"/>
  <c r="D4" i="2"/>
  <c r="B62" i="2" s="1"/>
  <c r="H21" i="2"/>
  <c r="D21" i="2"/>
  <c r="D19" i="2"/>
  <c r="D17" i="2"/>
  <c r="O120" i="2"/>
  <c r="N118" i="2"/>
  <c r="N117" i="2"/>
  <c r="M115" i="1" s="1"/>
  <c r="M115" i="2"/>
  <c r="L115" i="2"/>
  <c r="K115" i="2"/>
  <c r="J115" i="2"/>
  <c r="I115" i="2"/>
  <c r="H115" i="2"/>
  <c r="G115" i="2"/>
  <c r="F115" i="2"/>
  <c r="E115" i="2"/>
  <c r="M114" i="2"/>
  <c r="L114" i="2"/>
  <c r="K114" i="2"/>
  <c r="J114" i="2"/>
  <c r="I114" i="2"/>
  <c r="H114" i="2"/>
  <c r="G114" i="2"/>
  <c r="F114" i="2"/>
  <c r="E114" i="2"/>
  <c r="N96" i="2"/>
  <c r="M94" i="1" s="1"/>
  <c r="N95" i="2"/>
  <c r="M93" i="1" s="1"/>
  <c r="N94" i="2"/>
  <c r="M92" i="1" s="1"/>
  <c r="M92" i="2"/>
  <c r="L92" i="2"/>
  <c r="K92" i="2"/>
  <c r="J92" i="2"/>
  <c r="I92" i="2"/>
  <c r="H92" i="2"/>
  <c r="G92" i="2"/>
  <c r="M91" i="2"/>
  <c r="L91" i="2"/>
  <c r="K91" i="2"/>
  <c r="J91" i="2"/>
  <c r="I91" i="2"/>
  <c r="H91" i="2"/>
  <c r="G91" i="2"/>
  <c r="M76" i="2"/>
  <c r="L76" i="2"/>
  <c r="K76" i="2"/>
  <c r="J76" i="2"/>
  <c r="I76" i="2"/>
  <c r="H76" i="2"/>
  <c r="G76" i="2"/>
  <c r="E76" i="2"/>
  <c r="O75" i="2"/>
  <c r="N75" i="2"/>
  <c r="M68" i="1" s="1"/>
  <c r="O74" i="2"/>
  <c r="N74" i="2"/>
  <c r="M67" i="1" s="1"/>
  <c r="O73" i="2"/>
  <c r="N73" i="2"/>
  <c r="M66" i="1" s="1"/>
  <c r="M71" i="2"/>
  <c r="L71" i="2"/>
  <c r="K71" i="2"/>
  <c r="J71" i="2"/>
  <c r="I71" i="2"/>
  <c r="H71" i="2"/>
  <c r="G71" i="2"/>
  <c r="F71" i="2"/>
  <c r="E71" i="2"/>
  <c r="N70" i="2"/>
  <c r="M63" i="1" s="1"/>
  <c r="O69" i="2"/>
  <c r="N69" i="2"/>
  <c r="M62" i="1" s="1"/>
  <c r="N68" i="2"/>
  <c r="M61" i="1" s="1"/>
  <c r="N66" i="2"/>
  <c r="M59" i="1" s="1"/>
  <c r="B57" i="2" l="1"/>
  <c r="B89" i="2"/>
  <c r="P66" i="1"/>
  <c r="C31" i="2"/>
  <c r="L53" i="2"/>
  <c r="L46" i="2"/>
  <c r="L49" i="2"/>
  <c r="L51" i="2"/>
  <c r="L40" i="2"/>
  <c r="L48" i="2"/>
  <c r="L50" i="2"/>
  <c r="L43" i="2"/>
  <c r="L47" i="2"/>
  <c r="P53" i="2"/>
  <c r="O53" i="2" s="1"/>
  <c r="P45" i="2"/>
  <c r="O45" i="2" s="1"/>
  <c r="C34" i="2"/>
  <c r="P43" i="2"/>
  <c r="O43" i="2" s="1"/>
  <c r="P50" i="2"/>
  <c r="O50" i="2" s="1"/>
  <c r="P42" i="2"/>
  <c r="O42" i="2" s="1"/>
  <c r="P49" i="2"/>
  <c r="O49" i="2" s="1"/>
  <c r="P41" i="2"/>
  <c r="O41" i="2" s="1"/>
  <c r="P40" i="2"/>
  <c r="O40" i="2" s="1"/>
  <c r="P39" i="2"/>
  <c r="O39" i="2" s="1"/>
  <c r="P46" i="2"/>
  <c r="O46" i="2" s="1"/>
  <c r="P52" i="2"/>
  <c r="O52" i="2" s="1"/>
  <c r="P44" i="2"/>
  <c r="O44" i="2" s="1"/>
  <c r="P51" i="2"/>
  <c r="O51" i="2" s="1"/>
  <c r="C37" i="2"/>
  <c r="P47" i="2"/>
  <c r="O47" i="2" s="1"/>
  <c r="P48" i="2"/>
  <c r="O48" i="2" s="1"/>
  <c r="H53" i="2"/>
  <c r="H45" i="2"/>
  <c r="H51" i="2"/>
  <c r="H43" i="2"/>
  <c r="H50" i="2"/>
  <c r="H49" i="2"/>
  <c r="H48" i="2"/>
  <c r="H47" i="2"/>
  <c r="H46" i="2"/>
  <c r="H52" i="2"/>
  <c r="H44" i="2"/>
  <c r="H42" i="2"/>
  <c r="H41" i="2"/>
  <c r="H40" i="2"/>
  <c r="H39" i="2"/>
  <c r="L44" i="2"/>
  <c r="L52" i="2"/>
  <c r="L45" i="2"/>
  <c r="K34" i="2"/>
  <c r="C36" i="2"/>
  <c r="L39" i="2"/>
  <c r="L41" i="2"/>
  <c r="L42" i="2"/>
  <c r="C15" i="2"/>
  <c r="M116" i="1"/>
  <c r="P61" i="1"/>
  <c r="O61" i="1" s="1"/>
  <c r="B97" i="2"/>
  <c r="B78" i="2"/>
  <c r="B119" i="2"/>
  <c r="B77" i="2"/>
  <c r="E77" i="2"/>
  <c r="M77" i="2"/>
  <c r="S16" i="2"/>
  <c r="H79" i="2"/>
  <c r="I77" i="2"/>
  <c r="C86" i="2"/>
  <c r="C58" i="2"/>
  <c r="D86" i="2"/>
  <c r="D58" i="2"/>
  <c r="N119" i="2"/>
  <c r="D107" i="2"/>
  <c r="G77" i="2"/>
  <c r="C107" i="2"/>
  <c r="J77" i="2"/>
  <c r="H78" i="2"/>
  <c r="N71" i="2"/>
  <c r="F77" i="2"/>
  <c r="G78" i="2"/>
  <c r="M79" i="2"/>
  <c r="K79" i="2"/>
  <c r="K77" i="2"/>
  <c r="N76" i="2"/>
  <c r="M78" i="2"/>
  <c r="E79" i="2"/>
  <c r="H77" i="2"/>
  <c r="G79" i="2"/>
  <c r="L77" i="2"/>
  <c r="F78" i="2"/>
  <c r="F79" i="2"/>
  <c r="I79" i="2"/>
  <c r="I78" i="2"/>
  <c r="J79" i="2"/>
  <c r="J78" i="2"/>
  <c r="E78" i="2"/>
  <c r="L78" i="2"/>
  <c r="L79" i="2"/>
  <c r="K78" i="2"/>
  <c r="C419" i="1"/>
  <c r="P64" i="2" l="1"/>
  <c r="O64" i="2" s="1"/>
  <c r="O31" i="2"/>
  <c r="J38" i="2"/>
  <c r="I38" i="2"/>
  <c r="H38" i="2"/>
  <c r="P65" i="2"/>
  <c r="O65" i="2" s="1"/>
  <c r="P63" i="2"/>
  <c r="G116" i="2"/>
  <c r="G119" i="2" s="1"/>
  <c r="H80" i="2"/>
  <c r="C38" i="2"/>
  <c r="F38" i="2"/>
  <c r="H116" i="2"/>
  <c r="H120" i="2" s="1"/>
  <c r="H93" i="2"/>
  <c r="H98" i="2" s="1"/>
  <c r="G80" i="2"/>
  <c r="G93" i="2"/>
  <c r="G97" i="2" s="1"/>
  <c r="M80" i="2"/>
  <c r="N77" i="2"/>
  <c r="M116" i="2"/>
  <c r="M120" i="2" s="1"/>
  <c r="M93" i="2"/>
  <c r="M97" i="2" s="1"/>
  <c r="E93" i="2"/>
  <c r="E116" i="2"/>
  <c r="E80" i="2"/>
  <c r="N78" i="2"/>
  <c r="N80" i="2" s="1"/>
  <c r="F93" i="2"/>
  <c r="F116" i="2"/>
  <c r="F80" i="2"/>
  <c r="L93" i="2"/>
  <c r="L116" i="2"/>
  <c r="L80" i="2"/>
  <c r="J80" i="2"/>
  <c r="J93" i="2"/>
  <c r="J116" i="2"/>
  <c r="I80" i="2"/>
  <c r="I93" i="2"/>
  <c r="I116" i="2"/>
  <c r="K80" i="2"/>
  <c r="K93" i="2"/>
  <c r="K116" i="2"/>
  <c r="B71" i="1"/>
  <c r="B70" i="1"/>
  <c r="B95" i="1"/>
  <c r="B8" i="1"/>
  <c r="B8" i="2" s="1"/>
  <c r="P34" i="2" l="1"/>
  <c r="B82" i="2" s="1"/>
  <c r="O63" i="2"/>
  <c r="P118" i="2"/>
  <c r="O118" i="2" s="1"/>
  <c r="P117" i="2"/>
  <c r="O117" i="2" s="1"/>
  <c r="P94" i="2"/>
  <c r="O94" i="2" s="1"/>
  <c r="P96" i="2"/>
  <c r="O96" i="2" s="1"/>
  <c r="P95" i="2"/>
  <c r="O95" i="2" s="1"/>
  <c r="G120" i="2"/>
  <c r="M98" i="2"/>
  <c r="S17" i="2"/>
  <c r="M119" i="2"/>
  <c r="H119" i="2"/>
  <c r="H97" i="2"/>
  <c r="G98" i="2"/>
  <c r="E119" i="2"/>
  <c r="N93" i="2"/>
  <c r="N116" i="2"/>
  <c r="N79" i="2"/>
  <c r="E97" i="2"/>
  <c r="E98" i="2" s="1"/>
  <c r="K119" i="2"/>
  <c r="K120" i="2"/>
  <c r="J120" i="2"/>
  <c r="J119" i="2"/>
  <c r="F119" i="2"/>
  <c r="L119" i="2"/>
  <c r="L120" i="2"/>
  <c r="K98" i="2"/>
  <c r="K97" i="2"/>
  <c r="J97" i="2"/>
  <c r="J98" i="2"/>
  <c r="F97" i="2"/>
  <c r="F98" i="2" s="1"/>
  <c r="I120" i="2"/>
  <c r="I119" i="2"/>
  <c r="I98" i="2"/>
  <c r="I97" i="2"/>
  <c r="L98" i="2"/>
  <c r="L97" i="2"/>
  <c r="B100" i="2" l="1"/>
  <c r="B81" i="2"/>
  <c r="O34" i="2"/>
  <c r="O11" i="2" s="1"/>
  <c r="N120" i="2"/>
  <c r="F120" i="2"/>
  <c r="E120" i="2"/>
  <c r="N97" i="2"/>
  <c r="B122" i="2" l="1"/>
  <c r="B121" i="2" s="1"/>
  <c r="S19" i="2"/>
  <c r="AK59" i="2"/>
  <c r="R58" i="2"/>
  <c r="P58" i="2"/>
  <c r="AI58" i="2"/>
  <c r="AK58" i="2"/>
  <c r="R59" i="2"/>
  <c r="BQ64" i="2"/>
  <c r="BQ63" i="2" s="1"/>
  <c r="N98" i="2"/>
  <c r="S18" i="2" s="1"/>
  <c r="B99" i="2" l="1"/>
  <c r="P109" i="2"/>
  <c r="AY68" i="2"/>
  <c r="BI73" i="2"/>
  <c r="AY63" i="2"/>
  <c r="BQ79" i="2"/>
  <c r="BQ78" i="2" s="1"/>
  <c r="BJ73" i="2"/>
  <c r="AR109" i="2" l="1"/>
  <c r="R108" i="2"/>
  <c r="AZ109" i="2"/>
  <c r="AP112" i="2"/>
  <c r="AP111" i="2" s="1"/>
  <c r="AK108" i="2"/>
  <c r="P107" i="2"/>
  <c r="AY112" i="2"/>
  <c r="AY111" i="2" s="1"/>
  <c r="BC108" i="2"/>
  <c r="BA107" i="2"/>
  <c r="AK107" i="2"/>
  <c r="BM105" i="2"/>
  <c r="AQ109" i="2"/>
  <c r="BH112" i="2"/>
  <c r="BH111" i="2" s="1"/>
  <c r="BA109" i="2"/>
  <c r="BC107" i="2"/>
  <c r="R107" i="2"/>
  <c r="AI107" i="2"/>
  <c r="BA73" i="2"/>
  <c r="BH79" i="2" s="1"/>
  <c r="BH78" i="2" s="1"/>
  <c r="AY79" i="2"/>
  <c r="AY78" i="2" s="1"/>
  <c r="CA86" i="2"/>
  <c r="BV86" i="2"/>
  <c r="BT86" i="2"/>
  <c r="CF98" i="2"/>
  <c r="CF97" i="2" s="1"/>
  <c r="BV96" i="2"/>
  <c r="BC86" i="2"/>
  <c r="BU96" i="2"/>
  <c r="BA86" i="2"/>
  <c r="C304" i="1"/>
  <c r="CF92" i="2" l="1"/>
  <c r="CF89" i="2" s="1"/>
  <c r="BV88" i="2"/>
  <c r="BQ92" i="2"/>
  <c r="BQ89" i="2" s="1"/>
  <c r="O317" i="1" l="1"/>
  <c r="O315" i="1"/>
  <c r="O313" i="1"/>
  <c r="P318" i="1" l="1"/>
  <c r="O318" i="1" s="1"/>
  <c r="O308" i="1"/>
  <c r="P306" i="1"/>
  <c r="P304" i="1"/>
  <c r="O304" i="1" s="1"/>
  <c r="P302" i="1"/>
  <c r="O302" i="1" s="1"/>
  <c r="P300" i="1"/>
  <c r="O300" i="1" s="1"/>
  <c r="P298" i="1"/>
  <c r="O298" i="1" s="1"/>
  <c r="O290" i="1"/>
  <c r="P292" i="1"/>
  <c r="O292" i="1" s="1"/>
  <c r="O306" i="1" l="1"/>
  <c r="CJ243" i="1" l="1"/>
  <c r="H215" i="1"/>
  <c r="O208" i="1"/>
  <c r="O210" i="1"/>
  <c r="O44" i="1"/>
  <c r="O81" i="1" l="1"/>
  <c r="E69" i="1" l="1"/>
  <c r="F90" i="1"/>
  <c r="G90" i="1"/>
  <c r="H90" i="1"/>
  <c r="I90" i="1"/>
  <c r="J90" i="1"/>
  <c r="K90" i="1"/>
  <c r="L90" i="1"/>
  <c r="M90" i="1"/>
  <c r="E90" i="1"/>
  <c r="E113" i="1"/>
  <c r="F89" i="1"/>
  <c r="G89" i="1"/>
  <c r="H89" i="1"/>
  <c r="I89" i="1"/>
  <c r="J89" i="1"/>
  <c r="K89" i="1"/>
  <c r="L89" i="1"/>
  <c r="M89" i="1"/>
  <c r="E89" i="1"/>
  <c r="E112" i="1"/>
  <c r="D79" i="1" l="1"/>
  <c r="B84" i="1" l="1"/>
  <c r="N92" i="1" l="1"/>
  <c r="N94" i="1" l="1"/>
  <c r="O39" i="1" l="1"/>
  <c r="P409" i="1" l="1"/>
  <c r="O409" i="1" s="1"/>
  <c r="P68" i="1" l="1"/>
  <c r="O68" i="1" s="1"/>
  <c r="P62" i="1"/>
  <c r="O62" i="1" s="1"/>
  <c r="Q62" i="1"/>
  <c r="O63" i="1" s="1"/>
  <c r="P67" i="1"/>
  <c r="O67" i="1" s="1"/>
  <c r="P20" i="1"/>
  <c r="O20" i="1" s="1"/>
  <c r="O66" i="1" l="1"/>
  <c r="P25" i="1"/>
  <c r="O25" i="1" s="1"/>
  <c r="O37" i="1"/>
  <c r="P16" i="1" l="1"/>
  <c r="P18" i="1"/>
  <c r="O18" i="1" s="1"/>
  <c r="P23" i="1"/>
  <c r="O23" i="1" s="1"/>
  <c r="O405" i="1"/>
  <c r="O16" i="1" l="1"/>
  <c r="B117" i="1" l="1"/>
  <c r="S405" i="1" l="1"/>
  <c r="S15" i="1"/>
  <c r="E64" i="1"/>
  <c r="F64" i="1"/>
  <c r="F69" i="1"/>
  <c r="G64" i="1"/>
  <c r="G69" i="1"/>
  <c r="H64" i="1"/>
  <c r="H69" i="1"/>
  <c r="I64" i="1"/>
  <c r="I69" i="1"/>
  <c r="J64" i="1"/>
  <c r="J69" i="1"/>
  <c r="K64" i="1"/>
  <c r="K69" i="1"/>
  <c r="L64" i="1"/>
  <c r="L69" i="1"/>
  <c r="M64" i="1"/>
  <c r="M69" i="1"/>
  <c r="S24" i="1"/>
  <c r="S23" i="1"/>
  <c r="N115" i="1"/>
  <c r="N116" i="1"/>
  <c r="C126" i="1"/>
  <c r="N93" i="1"/>
  <c r="P242" i="1"/>
  <c r="P217" i="1"/>
  <c r="N66" i="1"/>
  <c r="N67" i="1"/>
  <c r="N68" i="1"/>
  <c r="F193" i="1"/>
  <c r="G193" i="1"/>
  <c r="H193" i="1"/>
  <c r="I193" i="1"/>
  <c r="J193" i="1"/>
  <c r="K193" i="1"/>
  <c r="L193" i="1"/>
  <c r="M193" i="1"/>
  <c r="E193" i="1"/>
  <c r="E187" i="1"/>
  <c r="F187" i="1"/>
  <c r="G187" i="1"/>
  <c r="H187" i="1"/>
  <c r="I187" i="1"/>
  <c r="J187" i="1"/>
  <c r="K187" i="1"/>
  <c r="L187" i="1"/>
  <c r="M187" i="1"/>
  <c r="E181" i="1"/>
  <c r="F181" i="1"/>
  <c r="G181" i="1"/>
  <c r="H181" i="1"/>
  <c r="I181" i="1"/>
  <c r="J181" i="1"/>
  <c r="K181" i="1"/>
  <c r="L181" i="1"/>
  <c r="M181" i="1"/>
  <c r="E155" i="1"/>
  <c r="F155" i="1"/>
  <c r="G155" i="1"/>
  <c r="H155" i="1"/>
  <c r="I155" i="1"/>
  <c r="J155" i="1"/>
  <c r="K155" i="1"/>
  <c r="L155" i="1"/>
  <c r="M155" i="1"/>
  <c r="E149" i="1"/>
  <c r="F149" i="1"/>
  <c r="G149" i="1"/>
  <c r="H149" i="1"/>
  <c r="I149" i="1"/>
  <c r="J149" i="1"/>
  <c r="K149" i="1"/>
  <c r="L149" i="1"/>
  <c r="M149" i="1"/>
  <c r="E143" i="1"/>
  <c r="H143" i="1"/>
  <c r="I143" i="1"/>
  <c r="F143" i="1"/>
  <c r="G143" i="1"/>
  <c r="J143" i="1"/>
  <c r="K143" i="1"/>
  <c r="L143" i="1"/>
  <c r="M143" i="1"/>
  <c r="N61" i="1"/>
  <c r="N62" i="1"/>
  <c r="N63" i="1"/>
  <c r="N180" i="1"/>
  <c r="N189" i="1"/>
  <c r="N190" i="1"/>
  <c r="N191" i="1"/>
  <c r="N192" i="1"/>
  <c r="N183" i="1"/>
  <c r="N184" i="1"/>
  <c r="N185" i="1"/>
  <c r="N186" i="1"/>
  <c r="N152" i="1"/>
  <c r="N151" i="1"/>
  <c r="N153" i="1"/>
  <c r="N154" i="1"/>
  <c r="N145" i="1"/>
  <c r="N146" i="1"/>
  <c r="N147" i="1"/>
  <c r="N148" i="1"/>
  <c r="D163" i="1"/>
  <c r="C163" i="1"/>
  <c r="C79" i="1"/>
  <c r="D50" i="1"/>
  <c r="C50" i="1"/>
  <c r="D286" i="1"/>
  <c r="C286" i="1"/>
  <c r="D251" i="1"/>
  <c r="C251" i="1"/>
  <c r="D201" i="1"/>
  <c r="C201" i="1"/>
  <c r="D126" i="1"/>
  <c r="D105" i="1"/>
  <c r="C105" i="1"/>
  <c r="I267" i="1"/>
  <c r="H267" i="1"/>
  <c r="G267" i="1"/>
  <c r="D267" i="1"/>
  <c r="C267" i="1"/>
  <c r="C265" i="1"/>
  <c r="H261" i="1"/>
  <c r="H263" i="1"/>
  <c r="C261" i="1"/>
  <c r="H259" i="1"/>
  <c r="H257" i="1"/>
  <c r="C259" i="1"/>
  <c r="C263" i="1"/>
  <c r="F113" i="1"/>
  <c r="G113" i="1"/>
  <c r="H113" i="1"/>
  <c r="I113" i="1"/>
  <c r="J113" i="1"/>
  <c r="K113" i="1"/>
  <c r="L113" i="1"/>
  <c r="M113" i="1"/>
  <c r="F112" i="1"/>
  <c r="G112" i="1"/>
  <c r="H112" i="1"/>
  <c r="I112" i="1"/>
  <c r="J112" i="1"/>
  <c r="K112" i="1"/>
  <c r="L112" i="1"/>
  <c r="M112" i="1"/>
  <c r="N59" i="1"/>
  <c r="C215" i="1"/>
  <c r="E72" i="1" l="1"/>
  <c r="E70" i="1"/>
  <c r="L111" i="1"/>
  <c r="L88" i="1"/>
  <c r="F88" i="1"/>
  <c r="F111" i="1"/>
  <c r="K111" i="1"/>
  <c r="K88" i="1"/>
  <c r="I88" i="1"/>
  <c r="I111" i="1"/>
  <c r="J88" i="1"/>
  <c r="J111" i="1"/>
  <c r="F72" i="1"/>
  <c r="J72" i="1"/>
  <c r="I72" i="1"/>
  <c r="H72" i="1"/>
  <c r="L72" i="1"/>
  <c r="K72" i="1"/>
  <c r="M72" i="1"/>
  <c r="G72" i="1"/>
  <c r="N69" i="1"/>
  <c r="M71" i="1"/>
  <c r="M91" i="1" s="1"/>
  <c r="K71" i="1"/>
  <c r="K91" i="1" s="1"/>
  <c r="K96" i="1" s="1"/>
  <c r="I71" i="1"/>
  <c r="I91" i="1" s="1"/>
  <c r="I96" i="1" s="1"/>
  <c r="G71" i="1"/>
  <c r="G91" i="1" s="1"/>
  <c r="E71" i="1"/>
  <c r="K70" i="1"/>
  <c r="M70" i="1"/>
  <c r="I70" i="1"/>
  <c r="G70" i="1"/>
  <c r="N181" i="1"/>
  <c r="N117" i="1"/>
  <c r="N155" i="1"/>
  <c r="N64" i="1"/>
  <c r="N187" i="1"/>
  <c r="N149" i="1"/>
  <c r="N193" i="1"/>
  <c r="N143" i="1"/>
  <c r="L71" i="1"/>
  <c r="L91" i="1" s="1"/>
  <c r="L96" i="1" s="1"/>
  <c r="L70" i="1"/>
  <c r="J71" i="1"/>
  <c r="J91" i="1" s="1"/>
  <c r="J96" i="1" s="1"/>
  <c r="J70" i="1"/>
  <c r="H71" i="1"/>
  <c r="H70" i="1"/>
  <c r="F71" i="1"/>
  <c r="F91" i="1" s="1"/>
  <c r="F70" i="1"/>
  <c r="P57" i="1" l="1"/>
  <c r="O57" i="1" s="1"/>
  <c r="P58" i="1"/>
  <c r="O58" i="1" s="1"/>
  <c r="E91" i="1"/>
  <c r="E169" i="1"/>
  <c r="B196" i="1" s="1"/>
  <c r="F95" i="1"/>
  <c r="F96" i="1" s="1"/>
  <c r="G95" i="1"/>
  <c r="G96" i="1" s="1"/>
  <c r="J95" i="1"/>
  <c r="M95" i="1"/>
  <c r="K95" i="1"/>
  <c r="I95" i="1"/>
  <c r="L95" i="1"/>
  <c r="E73" i="1"/>
  <c r="N71" i="1"/>
  <c r="P59" i="1" s="1"/>
  <c r="O59" i="1" s="1"/>
  <c r="H91" i="1"/>
  <c r="H96" i="1" s="1"/>
  <c r="K114" i="1"/>
  <c r="I114" i="1"/>
  <c r="M73" i="1"/>
  <c r="G114" i="1"/>
  <c r="I156" i="1"/>
  <c r="I73" i="1"/>
  <c r="M156" i="1"/>
  <c r="E114" i="1"/>
  <c r="E117" i="1" s="1"/>
  <c r="E118" i="1" s="1"/>
  <c r="M114" i="1"/>
  <c r="M117" i="1" s="1"/>
  <c r="G73" i="1"/>
  <c r="K73" i="1"/>
  <c r="K156" i="1"/>
  <c r="N70" i="1"/>
  <c r="F73" i="1"/>
  <c r="F156" i="1"/>
  <c r="F114" i="1"/>
  <c r="F117" i="1" s="1"/>
  <c r="H73" i="1"/>
  <c r="H156" i="1"/>
  <c r="H114" i="1"/>
  <c r="H117" i="1" s="1"/>
  <c r="J73" i="1"/>
  <c r="J156" i="1"/>
  <c r="J114" i="1"/>
  <c r="J117" i="1" s="1"/>
  <c r="L73" i="1"/>
  <c r="L114" i="1"/>
  <c r="L117" i="1" s="1"/>
  <c r="B75" i="1" l="1"/>
  <c r="E95" i="1"/>
  <c r="E96" i="1" s="1"/>
  <c r="E131" i="1"/>
  <c r="P131" i="1" s="1"/>
  <c r="E168" i="1"/>
  <c r="N91" i="1"/>
  <c r="P92" i="1"/>
  <c r="O92" i="1" s="1"/>
  <c r="M96" i="1"/>
  <c r="N73" i="1"/>
  <c r="S16" i="1" s="1"/>
  <c r="K117" i="1"/>
  <c r="K194" i="1" s="1"/>
  <c r="I117" i="1"/>
  <c r="I194" i="1" s="1"/>
  <c r="H95" i="1"/>
  <c r="P93" i="1"/>
  <c r="O93" i="1" s="1"/>
  <c r="P94" i="1"/>
  <c r="G117" i="1"/>
  <c r="G194" i="1" s="1"/>
  <c r="E156" i="1"/>
  <c r="K118" i="1"/>
  <c r="I118" i="1"/>
  <c r="F194" i="1"/>
  <c r="M194" i="1"/>
  <c r="L194" i="1"/>
  <c r="J194" i="1"/>
  <c r="H194" i="1"/>
  <c r="L156" i="1"/>
  <c r="P115" i="1"/>
  <c r="P116" i="1"/>
  <c r="O116" i="1" s="1"/>
  <c r="G156" i="1"/>
  <c r="N114" i="1"/>
  <c r="N118" i="1" s="1"/>
  <c r="S18" i="1" s="1"/>
  <c r="B98" i="1" l="1"/>
  <c r="B158" i="1"/>
  <c r="B157" i="1" s="1"/>
  <c r="P174" i="1"/>
  <c r="O174" i="1" s="1"/>
  <c r="P171" i="1"/>
  <c r="O171" i="1" s="1"/>
  <c r="P170" i="1"/>
  <c r="O170" i="1" s="1"/>
  <c r="P168" i="1"/>
  <c r="O168" i="1" s="1"/>
  <c r="P169" i="1"/>
  <c r="O169" i="1" s="1"/>
  <c r="P133" i="1"/>
  <c r="O133" i="1" s="1"/>
  <c r="O131" i="1"/>
  <c r="P132" i="1"/>
  <c r="O132" i="1" s="1"/>
  <c r="P137" i="1"/>
  <c r="O137" i="1" s="1"/>
  <c r="O172" i="1"/>
  <c r="B195" i="1"/>
  <c r="N95" i="1"/>
  <c r="G118" i="1"/>
  <c r="AI130" i="1"/>
  <c r="Y130" i="1"/>
  <c r="E194" i="1"/>
  <c r="N194" i="1" s="1"/>
  <c r="S20" i="1" s="1"/>
  <c r="M118" i="1"/>
  <c r="J118" i="1"/>
  <c r="L118" i="1"/>
  <c r="H118" i="1"/>
  <c r="N72" i="1"/>
  <c r="B74" i="1" s="1"/>
  <c r="P54" i="1" s="1"/>
  <c r="F118" i="1"/>
  <c r="N156" i="1"/>
  <c r="S19" i="1" s="1"/>
  <c r="O115" i="1"/>
  <c r="O118" i="1"/>
  <c r="O156" i="1"/>
  <c r="B120" i="1" l="1"/>
  <c r="B119" i="1" s="1"/>
  <c r="P107" i="1" s="1"/>
  <c r="AB110" i="1" s="1"/>
  <c r="AB54" i="1"/>
  <c r="AA54" i="1" s="1"/>
  <c r="AB67" i="1"/>
  <c r="AA67" i="1" s="1"/>
  <c r="V52" i="1"/>
  <c r="U51" i="1"/>
  <c r="R51" i="1"/>
  <c r="P50" i="1"/>
  <c r="R50" i="1"/>
  <c r="N96" i="1"/>
  <c r="R65" i="1"/>
  <c r="R53" i="1"/>
  <c r="O194" i="1"/>
  <c r="V107" i="1" l="1"/>
  <c r="AB118" i="1"/>
  <c r="AA118" i="1" s="1"/>
  <c r="AA110" i="1"/>
  <c r="U106" i="1"/>
  <c r="R106" i="1"/>
  <c r="B97" i="1"/>
  <c r="P83" i="1" s="1"/>
  <c r="S17" i="1"/>
  <c r="R116" i="1"/>
  <c r="R108" i="1"/>
  <c r="V82" i="1" l="1"/>
  <c r="AB87" i="1"/>
  <c r="AA87" i="1" s="1"/>
  <c r="AB95" i="1"/>
  <c r="AA95" i="1" s="1"/>
  <c r="R86" i="1"/>
  <c r="U81" i="1"/>
  <c r="P80" i="1"/>
  <c r="R80" i="1"/>
  <c r="R81" i="1"/>
  <c r="R94" i="1"/>
  <c r="R105" i="1"/>
  <c r="P105" i="1"/>
  <c r="O94" i="1" l="1"/>
  <c r="O415" i="1" s="1"/>
  <c r="BP85" i="1" l="1"/>
  <c r="BQ85" i="1" s="1"/>
  <c r="CE85" i="1"/>
  <c r="CF85" i="1" s="1"/>
  <c r="BG60" i="1" l="1"/>
  <c r="AY72" i="1"/>
  <c r="AY71" i="1" s="1"/>
  <c r="BG64" i="1"/>
  <c r="BH64" i="1" s="1"/>
  <c r="O321" i="1"/>
  <c r="D41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wwg</author>
    <author>Lisa Collard</author>
  </authors>
  <commentList>
    <comment ref="D12" authorId="0" shapeId="0" xr:uid="{00000000-0006-0000-0000-000001000000}">
      <text>
        <r>
          <rPr>
            <b/>
            <sz val="8"/>
            <color indexed="81"/>
            <rFont val="Tahoma"/>
            <family val="2"/>
          </rPr>
          <t>The red triangle in the upper right corner signifies a comment.  It is revealed when the cursor is placed over the cell.</t>
        </r>
      </text>
    </comment>
    <comment ref="C25" authorId="1" shapeId="0" xr:uid="{00000000-0006-0000-0000-000002000000}">
      <text>
        <r>
          <rPr>
            <sz val="9"/>
            <color indexed="81"/>
            <rFont val="Tahoma"/>
            <family val="2"/>
          </rPr>
          <t xml:space="preserve">
To add the URL (link) to the Paramedic educational program's published outcomes:
1. Copy the URL (link), select or highlight the cell (one left click on E-N25) where you want to add the link, and paste the URL (link) to the address bar above.
</t>
        </r>
        <r>
          <rPr>
            <b/>
            <sz val="9"/>
            <color indexed="81"/>
            <rFont val="Tahoma"/>
            <family val="2"/>
          </rPr>
          <t>or</t>
        </r>
        <r>
          <rPr>
            <sz val="9"/>
            <color indexed="81"/>
            <rFont val="Tahoma"/>
            <family val="2"/>
          </rPr>
          <t xml:space="preserve">
2. Copy the URL (link), double click the cell (two left clicks on E-N25) where you want to add the link, and once you see the cursor is in the cell, paste the URL (link) into the cell (E-N25).</t>
        </r>
      </text>
    </comment>
    <comment ref="B55" authorId="1" shapeId="0" xr:uid="{00000000-0006-0000-0000-000003000000}">
      <text>
        <r>
          <rPr>
            <b/>
            <sz val="9"/>
            <color indexed="81"/>
            <rFont val="Tahoma"/>
            <family val="2"/>
          </rPr>
          <t xml:space="preserve">
The addition of this row allows programs to record internal cohort information (e.g., internal class numbers, etc.) for tracking purposes. No data is required for this field. </t>
        </r>
        <r>
          <rPr>
            <sz val="9"/>
            <color indexed="81"/>
            <rFont val="Tahoma"/>
            <family val="2"/>
          </rPr>
          <t xml:space="preserve">
</t>
        </r>
      </text>
    </comment>
    <comment ref="B58" authorId="1" shapeId="0" xr:uid="{00000000-0006-0000-0000-000004000000}">
      <text>
        <r>
          <rPr>
            <b/>
            <sz val="9"/>
            <color indexed="81"/>
            <rFont val="Tahoma"/>
            <family val="2"/>
          </rPr>
          <t xml:space="preserve">On-time graduation means enrolled students are expected to complete all course requirements in order to graduate in the designated time-to-certificate or degree for the program.  The resources must be allocated to build and deliver the program in this period of time.  </t>
        </r>
        <r>
          <rPr>
            <sz val="9"/>
            <color indexed="81"/>
            <rFont val="Tahoma"/>
            <family val="2"/>
          </rPr>
          <t xml:space="preserve">
</t>
        </r>
      </text>
    </comment>
    <comment ref="D63" authorId="1" shapeId="0" xr:uid="{00000000-0006-0000-0000-000005000000}">
      <text>
        <r>
          <rPr>
            <b/>
            <sz val="9"/>
            <color indexed="81"/>
            <rFont val="Tahoma"/>
            <family val="2"/>
          </rPr>
          <t>Category can include but is not limited to:</t>
        </r>
        <r>
          <rPr>
            <sz val="9"/>
            <color indexed="81"/>
            <rFont val="Tahoma"/>
            <family val="2"/>
          </rPr>
          <t xml:space="preserve">
-Violation of institution/program policies
-Conduct reasons</t>
        </r>
      </text>
    </comment>
    <comment ref="B91" authorId="1" shapeId="0" xr:uid="{00000000-0006-0000-0000-000006000000}">
      <text>
        <r>
          <rPr>
            <b/>
            <sz val="9"/>
            <color indexed="81"/>
            <rFont val="Tahoma"/>
            <family val="2"/>
          </rPr>
          <t xml:space="preserve">
According to the National Registry (www.nremt.org):
Number passing - 1st attempt = </t>
        </r>
        <r>
          <rPr>
            <sz val="9"/>
            <color indexed="81"/>
            <rFont val="Tahoma"/>
            <family val="2"/>
          </rPr>
          <t>First time a graduate takes and passes the exam in the calendar year being reported.</t>
        </r>
        <r>
          <rPr>
            <b/>
            <sz val="9"/>
            <color indexed="81"/>
            <rFont val="Tahoma"/>
            <family val="2"/>
          </rPr>
          <t xml:space="preserve"> 
Number passing - 3rd attempt cumulative pass rate = </t>
        </r>
        <r>
          <rPr>
            <sz val="9"/>
            <color indexed="81"/>
            <rFont val="Tahoma"/>
            <family val="2"/>
          </rPr>
          <t xml:space="preserve">First, second, and third time a graduate takes and passes the exam in the calendar year being reported.  This does not include any subsequent attempts and passes after the third time.
</t>
        </r>
      </text>
    </comment>
    <comment ref="B92" authorId="1" shapeId="0" xr:uid="{00000000-0006-0000-0000-000007000000}">
      <text>
        <r>
          <rPr>
            <b/>
            <sz val="9"/>
            <color indexed="81"/>
            <rFont val="Tahoma"/>
            <family val="2"/>
          </rPr>
          <t xml:space="preserve">
According to the National Registry (www.nremt.org):
Number passing - 1st attempt = </t>
        </r>
        <r>
          <rPr>
            <sz val="9"/>
            <color indexed="81"/>
            <rFont val="Tahoma"/>
            <family val="2"/>
          </rPr>
          <t xml:space="preserve">First time a graduate takes and passes the exam in the calendar year being reported. </t>
        </r>
        <r>
          <rPr>
            <b/>
            <sz val="9"/>
            <color indexed="81"/>
            <rFont val="Tahoma"/>
            <family val="2"/>
          </rPr>
          <t xml:space="preserve">
Number passing - 3rd attempt cumulative pass rate = F</t>
        </r>
        <r>
          <rPr>
            <sz val="9"/>
            <color indexed="81"/>
            <rFont val="Tahoma"/>
            <family val="2"/>
          </rPr>
          <t xml:space="preserve">irst, second, and third time a graduate takes and passes the exam in the calendar year being reported.  This does not include any subsequent attempts and passes after the third time.
</t>
        </r>
      </text>
    </comment>
    <comment ref="C92" authorId="1" shapeId="0" xr:uid="{00000000-0006-0000-0000-000008000000}">
      <text>
        <r>
          <rPr>
            <b/>
            <sz val="9"/>
            <color indexed="81"/>
            <rFont val="Tahoma"/>
            <family val="2"/>
          </rPr>
          <t xml:space="preserve">
According to the National Registry (www.nremt.org):
Number passing - 1st attempt = </t>
        </r>
        <r>
          <rPr>
            <sz val="9"/>
            <color indexed="81"/>
            <rFont val="Tahoma"/>
            <family val="2"/>
          </rPr>
          <t xml:space="preserve">First time a graduate takes and passes the exam in the calendar year being reported. </t>
        </r>
        <r>
          <rPr>
            <b/>
            <sz val="9"/>
            <color indexed="81"/>
            <rFont val="Tahoma"/>
            <family val="2"/>
          </rPr>
          <t xml:space="preserve">
Number passing - 3rd attempt cumulative pass rate =</t>
        </r>
        <r>
          <rPr>
            <sz val="9"/>
            <color indexed="81"/>
            <rFont val="Tahoma"/>
            <family val="2"/>
          </rPr>
          <t xml:space="preserve"> First, second, and third time a graduate takes and passes the exam in the calendar year being reported.  This does not include any subsequent attempts and passes after the third time.
</t>
        </r>
      </text>
    </comment>
    <comment ref="B93" authorId="1" shapeId="0" xr:uid="{00000000-0006-0000-0000-000009000000}">
      <text>
        <r>
          <rPr>
            <b/>
            <sz val="9"/>
            <color indexed="81"/>
            <rFont val="Tahoma"/>
            <family val="2"/>
          </rPr>
          <t xml:space="preserve">
According to the National Registry (www.nremt.org):
Number passing - 1st attempt = </t>
        </r>
        <r>
          <rPr>
            <sz val="9"/>
            <color indexed="81"/>
            <rFont val="Tahoma"/>
            <family val="2"/>
          </rPr>
          <t xml:space="preserve">First time a graduate takes and passes the exam in the calendar year being reported. </t>
        </r>
        <r>
          <rPr>
            <b/>
            <sz val="9"/>
            <color indexed="81"/>
            <rFont val="Tahoma"/>
            <family val="2"/>
          </rPr>
          <t xml:space="preserve">
Number passing - 3rd attempt cumulative pass rate = F</t>
        </r>
        <r>
          <rPr>
            <sz val="9"/>
            <color indexed="81"/>
            <rFont val="Tahoma"/>
            <family val="2"/>
          </rPr>
          <t xml:space="preserve">irst, second, and third time a graduate takes and passes the exam in the calendar year being reported.  This does not include any subsequent attempts and passes after the third time.
</t>
        </r>
      </text>
    </comment>
    <comment ref="C93" authorId="1" shapeId="0" xr:uid="{00000000-0006-0000-0000-00000A000000}">
      <text>
        <r>
          <rPr>
            <b/>
            <sz val="9"/>
            <color indexed="81"/>
            <rFont val="Tahoma"/>
            <family val="2"/>
          </rPr>
          <t xml:space="preserve">
According to the National Registry (www.nremt.org):
Number passing - 1st attempt = </t>
        </r>
        <r>
          <rPr>
            <sz val="9"/>
            <color indexed="81"/>
            <rFont val="Tahoma"/>
            <family val="2"/>
          </rPr>
          <t xml:space="preserve">First time a graduate takes and passes the exam in the calendar year being reported. </t>
        </r>
        <r>
          <rPr>
            <b/>
            <sz val="9"/>
            <color indexed="81"/>
            <rFont val="Tahoma"/>
            <family val="2"/>
          </rPr>
          <t xml:space="preserve">
Number passing - 3rd attempt cumulative pass rate =</t>
        </r>
        <r>
          <rPr>
            <sz val="9"/>
            <color indexed="81"/>
            <rFont val="Tahoma"/>
            <family val="2"/>
          </rPr>
          <t xml:space="preserve"> First, second, and third time a graduate takes and passes the exam in the calendar year being reported.  This does not include any subsequent attempts and passes after the third time.
</t>
        </r>
      </text>
    </comment>
    <comment ref="B94" authorId="1" shapeId="0" xr:uid="{00000000-0006-0000-0000-00000B000000}">
      <text>
        <r>
          <rPr>
            <b/>
            <sz val="9"/>
            <color indexed="81"/>
            <rFont val="Tahoma"/>
            <family val="2"/>
          </rPr>
          <t xml:space="preserve">
According to the National Registry (www.nremt.org):
Number passing - 1st attempt = </t>
        </r>
        <r>
          <rPr>
            <sz val="9"/>
            <color indexed="81"/>
            <rFont val="Tahoma"/>
            <family val="2"/>
          </rPr>
          <t xml:space="preserve">First time a graduate takes and passes the exam in the calendar year being reported. </t>
        </r>
        <r>
          <rPr>
            <b/>
            <sz val="9"/>
            <color indexed="81"/>
            <rFont val="Tahoma"/>
            <family val="2"/>
          </rPr>
          <t xml:space="preserve">
Number passing - 3rd attempt cumulative pass rate = </t>
        </r>
        <r>
          <rPr>
            <sz val="9"/>
            <color indexed="81"/>
            <rFont val="Tahoma"/>
            <family val="2"/>
          </rPr>
          <t xml:space="preserve">First, second, and third time a graduate takes and passes the exam in the calendar year being reported.  This does not include any subsequent attempts and passes after the third time.
</t>
        </r>
      </text>
    </comment>
    <comment ref="C94" authorId="1" shapeId="0" xr:uid="{00000000-0006-0000-0000-00000C000000}">
      <text>
        <r>
          <rPr>
            <b/>
            <sz val="9"/>
            <color indexed="81"/>
            <rFont val="Tahoma"/>
            <family val="2"/>
          </rPr>
          <t xml:space="preserve">
According to the National Registry (www.nremt.org):
Number passing - 1st attempt = </t>
        </r>
        <r>
          <rPr>
            <sz val="9"/>
            <color indexed="81"/>
            <rFont val="Tahoma"/>
            <family val="2"/>
          </rPr>
          <t xml:space="preserve">First time a graduate takes and passes the exam in the calendar year being reported. </t>
        </r>
        <r>
          <rPr>
            <b/>
            <sz val="9"/>
            <color indexed="81"/>
            <rFont val="Tahoma"/>
            <family val="2"/>
          </rPr>
          <t xml:space="preserve">
Number passing - 3rd attempt cumulative pass rate = </t>
        </r>
        <r>
          <rPr>
            <sz val="9"/>
            <color indexed="81"/>
            <rFont val="Tahoma"/>
            <family val="2"/>
          </rPr>
          <t xml:space="preserve">First, second, and third time a graduate takes and passes the exam in the calendar year being reported.  This does not include any subsequent attempts and passes after the third time.
</t>
        </r>
      </text>
    </comment>
    <comment ref="D115" authorId="1" shapeId="0" xr:uid="{00000000-0006-0000-0000-00000D000000}">
      <text>
        <r>
          <rPr>
            <b/>
            <sz val="9"/>
            <color indexed="81"/>
            <rFont val="Tahoma"/>
            <family val="2"/>
          </rPr>
          <t xml:space="preserve">
“Positive placement” </t>
        </r>
        <r>
          <rPr>
            <sz val="9"/>
            <color indexed="81"/>
            <rFont val="Tahoma"/>
            <family val="2"/>
          </rPr>
          <t>means that the graduate is employed full or part-time in the profession or in a related field; or continuing his/her education; or serving in the military. A related field is one in which the individual is using cognitive, psychomotor, and affective competencies acquired in the educational program.</t>
        </r>
        <r>
          <rPr>
            <b/>
            <sz val="9"/>
            <color indexed="81"/>
            <rFont val="Tahoma"/>
            <family val="2"/>
          </rPr>
          <t xml:space="preserve"> </t>
        </r>
        <r>
          <rPr>
            <sz val="9"/>
            <color indexed="81"/>
            <rFont val="Tahoma"/>
            <family val="2"/>
          </rPr>
          <t xml:space="preserve">
A Paramedic graduate employed as an EMT is not a positive placement.  If the graduate is not employed in a position that uses the Paramedic education acquired in the program, then s/he is not counted as employed in the annual report.</t>
        </r>
      </text>
    </comment>
    <comment ref="C308" authorId="1" shapeId="0" xr:uid="{00000000-0006-0000-0000-00000E000000}">
      <text>
        <r>
          <rPr>
            <sz val="9"/>
            <color indexed="81"/>
            <rFont val="Tahoma"/>
            <family val="2"/>
          </rPr>
          <t xml:space="preserve">
The Clinical Coordinator serves as a member of the instructional faculty of the program, provides instructional input and guidance related to clinical education and clinical site learning, and acts as a liaison between the various hospital affiliates and the Paramedic educational program.  The Clinical Coordinator will directly assist the Program Director in the preparation of student assignment, schedules and locations of clinical training, selection of textbooks, writing syllabi, and curricular changes pertaining to the Paramedic educational program.</t>
        </r>
      </text>
    </comment>
    <comment ref="H308" authorId="1" shapeId="0" xr:uid="{00000000-0006-0000-0000-00000F000000}">
      <text>
        <r>
          <rPr>
            <sz val="9"/>
            <color indexed="81"/>
            <rFont val="Tahoma"/>
            <family val="2"/>
          </rPr>
          <t xml:space="preserve">
The Clinical Coordinator serves as a member of the instructional faculty of the program, provides instructional input and guidance related to clinical education and clinical site learning, and acts as a liaison between the various hospital affiliates and the Paramedic educational program.  The Clinical Coordinator will directly assist the Program Director in the preparation of student assignment, schedules and locations of clinical training, selection of textbooks, writing syllabi, and curricular changes pertaining to the Paramedic educational program.</t>
        </r>
      </text>
    </comment>
    <comment ref="B338" authorId="1" shapeId="0" xr:uid="{54354C9B-9E6A-429B-986C-D069EF73271B}">
      <text>
        <r>
          <rPr>
            <b/>
            <sz val="9"/>
            <color indexed="81"/>
            <rFont val="Tahoma"/>
            <family val="2"/>
          </rPr>
          <t xml:space="preserve">
Asynchronous learning: </t>
        </r>
        <r>
          <rPr>
            <sz val="9"/>
            <color indexed="81"/>
            <rFont val="Tahoma"/>
            <family val="2"/>
          </rPr>
          <t>the instructor and students engage with the course content at different times (and from different locations). Students access materials at their own pace. Asynchronous activities may include watching pre-recorded lectures, reading assigned materials, and
participating in discussion boards.</t>
        </r>
        <r>
          <rPr>
            <b/>
            <sz val="9"/>
            <color indexed="81"/>
            <rFont val="Tahoma"/>
            <family val="2"/>
          </rPr>
          <t xml:space="preserve">
Synchronous Learning:</t>
        </r>
        <r>
          <rPr>
            <sz val="9"/>
            <color indexed="81"/>
            <rFont val="Tahoma"/>
            <family val="2"/>
          </rPr>
          <t xml:space="preserve"> instructors and students gather at the same time and place (virtual or physical) and interact in real-time. Interactions may be in-person, live-streaming lectures, or participating in video-conference discussions.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wwg</author>
    <author>Lisa Collard</author>
  </authors>
  <commentList>
    <comment ref="D13" authorId="0" shapeId="0" xr:uid="{00000000-0006-0000-0100-000001000000}">
      <text>
        <r>
          <rPr>
            <b/>
            <sz val="8"/>
            <color indexed="81"/>
            <rFont val="Tahoma"/>
            <family val="2"/>
          </rPr>
          <t>The red triangle in the upper right corner signifies a comment.  It is revealed when the cursor is placed over the cell.</t>
        </r>
      </text>
    </comment>
    <comment ref="H38" authorId="1" shapeId="0" xr:uid="{00000000-0006-0000-0100-000002000000}">
      <text>
        <r>
          <rPr>
            <sz val="9"/>
            <color indexed="81"/>
            <rFont val="Tahoma"/>
            <family val="2"/>
          </rPr>
          <t xml:space="preserve">
This column auto populates and cannot be manually adjusted. 
</t>
        </r>
      </text>
    </comment>
    <comment ref="J38" authorId="1" shapeId="0" xr:uid="{00000000-0006-0000-0100-000003000000}">
      <text>
        <r>
          <rPr>
            <sz val="9"/>
            <color indexed="81"/>
            <rFont val="Tahoma"/>
            <family val="2"/>
          </rPr>
          <t xml:space="preserve">
There are nine (9) columns available to report active satellite outcomes data.  If there are more than nine (9) active satellite locations, then the outcomes data will need to be combined with another satellite location.  Select which satellite number (i.e., column) the combined data will be reported in for the tables below.      </t>
        </r>
      </text>
    </comment>
    <comment ref="B65" authorId="1" shapeId="0" xr:uid="{00000000-0006-0000-0100-000004000000}">
      <text>
        <r>
          <rPr>
            <b/>
            <sz val="9"/>
            <color indexed="81"/>
            <rFont val="Tahoma"/>
            <family val="2"/>
          </rPr>
          <t xml:space="preserve">On-time graduation means enrolled students are expected to complete all course requirements in order to graduate in the designated time-to-certificate or degree for the program.  The resources must be allocated to build and deliver the program in this period of time.  </t>
        </r>
        <r>
          <rPr>
            <sz val="9"/>
            <color indexed="81"/>
            <rFont val="Tahoma"/>
            <family val="2"/>
          </rPr>
          <t xml:space="preserve">
</t>
        </r>
      </text>
    </comment>
    <comment ref="D70" authorId="1" shapeId="0" xr:uid="{00000000-0006-0000-0100-000005000000}">
      <text>
        <r>
          <rPr>
            <b/>
            <sz val="9"/>
            <color indexed="81"/>
            <rFont val="Tahoma"/>
            <family val="2"/>
          </rPr>
          <t>Category can include but is not limited to:</t>
        </r>
        <r>
          <rPr>
            <sz val="9"/>
            <color indexed="81"/>
            <rFont val="Tahoma"/>
            <family val="2"/>
          </rPr>
          <t xml:space="preserve">
-Violation of institution/program policies
-Conduct reasons</t>
        </r>
      </text>
    </comment>
    <comment ref="B93" authorId="1" shapeId="0" xr:uid="{00000000-0006-0000-0100-000006000000}">
      <text>
        <r>
          <rPr>
            <b/>
            <sz val="9"/>
            <color indexed="81"/>
            <rFont val="Tahoma"/>
            <family val="2"/>
          </rPr>
          <t xml:space="preserve">
According to the National Registry (www.nremt.org):
Number passing - 1st attempt = </t>
        </r>
        <r>
          <rPr>
            <sz val="9"/>
            <color indexed="81"/>
            <rFont val="Tahoma"/>
            <family val="2"/>
          </rPr>
          <t>First time a graduate takes and passes the exam in the calendar year being reported.</t>
        </r>
        <r>
          <rPr>
            <b/>
            <sz val="9"/>
            <color indexed="81"/>
            <rFont val="Tahoma"/>
            <family val="2"/>
          </rPr>
          <t xml:space="preserve"> 
Number passing - 3rd attempt cumulative pass rate = </t>
        </r>
        <r>
          <rPr>
            <sz val="9"/>
            <color indexed="81"/>
            <rFont val="Tahoma"/>
            <family val="2"/>
          </rPr>
          <t xml:space="preserve">First, second, and third time a graduate takes and passes the exam in the calendar year being reported.  This does not include any subsequent attempts and passes after the third time.
</t>
        </r>
      </text>
    </comment>
    <comment ref="B94" authorId="1" shapeId="0" xr:uid="{00000000-0006-0000-0100-000007000000}">
      <text>
        <r>
          <rPr>
            <b/>
            <sz val="9"/>
            <color indexed="81"/>
            <rFont val="Tahoma"/>
            <family val="2"/>
          </rPr>
          <t xml:space="preserve">
According to the National Registry (www.nremt.org):
Number passing - 1st attempt = </t>
        </r>
        <r>
          <rPr>
            <sz val="9"/>
            <color indexed="81"/>
            <rFont val="Tahoma"/>
            <family val="2"/>
          </rPr>
          <t xml:space="preserve">First time a graduate takes and passes the exam in the calendar year being reported. </t>
        </r>
        <r>
          <rPr>
            <b/>
            <sz val="9"/>
            <color indexed="81"/>
            <rFont val="Tahoma"/>
            <family val="2"/>
          </rPr>
          <t xml:space="preserve">
Number passing - 3rd attempt cumulative pass rate = F</t>
        </r>
        <r>
          <rPr>
            <sz val="9"/>
            <color indexed="81"/>
            <rFont val="Tahoma"/>
            <family val="2"/>
          </rPr>
          <t xml:space="preserve">irst, second, and third time a graduate takes and passes the exam in the calendar year being reported.  This does not include any subsequent attempts and passes after the third time.
</t>
        </r>
      </text>
    </comment>
    <comment ref="C94" authorId="1" shapeId="0" xr:uid="{00000000-0006-0000-0100-000008000000}">
      <text>
        <r>
          <rPr>
            <b/>
            <sz val="9"/>
            <color indexed="81"/>
            <rFont val="Tahoma"/>
            <family val="2"/>
          </rPr>
          <t xml:space="preserve">
According to the National Registry (www.nremt.org):
Number passing - 1st attempt = </t>
        </r>
        <r>
          <rPr>
            <sz val="9"/>
            <color indexed="81"/>
            <rFont val="Tahoma"/>
            <family val="2"/>
          </rPr>
          <t xml:space="preserve">First time a graduate takes and passes the exam in the calendar year being reported. </t>
        </r>
        <r>
          <rPr>
            <b/>
            <sz val="9"/>
            <color indexed="81"/>
            <rFont val="Tahoma"/>
            <family val="2"/>
          </rPr>
          <t xml:space="preserve">
Number passing - 3rd attempt cumulative pass rate =</t>
        </r>
        <r>
          <rPr>
            <sz val="9"/>
            <color indexed="81"/>
            <rFont val="Tahoma"/>
            <family val="2"/>
          </rPr>
          <t xml:space="preserve"> First, second, and third time a graduate takes and passes the exam in the calendar year being reported.  This does not include any subsequent attempts and passes after the third time.
</t>
        </r>
      </text>
    </comment>
    <comment ref="B95" authorId="1" shapeId="0" xr:uid="{00000000-0006-0000-0100-000009000000}">
      <text>
        <r>
          <rPr>
            <b/>
            <sz val="9"/>
            <color indexed="81"/>
            <rFont val="Tahoma"/>
            <family val="2"/>
          </rPr>
          <t xml:space="preserve">
According to the National Registry (www.nremt.org):
Number passing - 1st attempt = </t>
        </r>
        <r>
          <rPr>
            <sz val="9"/>
            <color indexed="81"/>
            <rFont val="Tahoma"/>
            <family val="2"/>
          </rPr>
          <t xml:space="preserve">First time a graduate takes and passes the exam in the calendar year being reported. </t>
        </r>
        <r>
          <rPr>
            <b/>
            <sz val="9"/>
            <color indexed="81"/>
            <rFont val="Tahoma"/>
            <family val="2"/>
          </rPr>
          <t xml:space="preserve">
Number passing - 3rd attempt cumulative pass rate = F</t>
        </r>
        <r>
          <rPr>
            <sz val="9"/>
            <color indexed="81"/>
            <rFont val="Tahoma"/>
            <family val="2"/>
          </rPr>
          <t xml:space="preserve">irst, second, and third time a graduate takes and passes the exam in the calendar year being reported.  This does not include any subsequent attempts and passes after the third time.
</t>
        </r>
      </text>
    </comment>
    <comment ref="C95" authorId="1" shapeId="0" xr:uid="{00000000-0006-0000-0100-00000A000000}">
      <text>
        <r>
          <rPr>
            <b/>
            <sz val="9"/>
            <color indexed="81"/>
            <rFont val="Tahoma"/>
            <family val="2"/>
          </rPr>
          <t xml:space="preserve">
According to the National Registry (www.nremt.org):
Number passing - 1st attempt = </t>
        </r>
        <r>
          <rPr>
            <sz val="9"/>
            <color indexed="81"/>
            <rFont val="Tahoma"/>
            <family val="2"/>
          </rPr>
          <t xml:space="preserve">First time a graduate takes and passes the exam in the calendar year being reported. </t>
        </r>
        <r>
          <rPr>
            <b/>
            <sz val="9"/>
            <color indexed="81"/>
            <rFont val="Tahoma"/>
            <family val="2"/>
          </rPr>
          <t xml:space="preserve">
Number passing - 3rd attempt cumulative pass rate =</t>
        </r>
        <r>
          <rPr>
            <sz val="9"/>
            <color indexed="81"/>
            <rFont val="Tahoma"/>
            <family val="2"/>
          </rPr>
          <t xml:space="preserve"> First, second, and third time a graduate takes and passes the exam in the calendar year being reported.  This does not include any subsequent attempts and passes after the third time.
</t>
        </r>
      </text>
    </comment>
    <comment ref="B96" authorId="1" shapeId="0" xr:uid="{00000000-0006-0000-0100-00000B000000}">
      <text>
        <r>
          <rPr>
            <b/>
            <sz val="9"/>
            <color indexed="81"/>
            <rFont val="Tahoma"/>
            <family val="2"/>
          </rPr>
          <t xml:space="preserve">
According to the National Registry (www.nremt.org):
Number passing - 1st attempt = </t>
        </r>
        <r>
          <rPr>
            <sz val="9"/>
            <color indexed="81"/>
            <rFont val="Tahoma"/>
            <family val="2"/>
          </rPr>
          <t xml:space="preserve">First time a graduate takes and passes the exam in the calendar year being reported. </t>
        </r>
        <r>
          <rPr>
            <b/>
            <sz val="9"/>
            <color indexed="81"/>
            <rFont val="Tahoma"/>
            <family val="2"/>
          </rPr>
          <t xml:space="preserve">
Number passing - 3rd attempt cumulative pass rate = </t>
        </r>
        <r>
          <rPr>
            <sz val="9"/>
            <color indexed="81"/>
            <rFont val="Tahoma"/>
            <family val="2"/>
          </rPr>
          <t xml:space="preserve">First, second, and third time a graduate takes and passes the exam in the calendar year being reported.  This does not include any subsequent attempts and passes after the third time.
</t>
        </r>
      </text>
    </comment>
    <comment ref="C96" authorId="1" shapeId="0" xr:uid="{00000000-0006-0000-0100-00000C000000}">
      <text>
        <r>
          <rPr>
            <b/>
            <sz val="9"/>
            <color indexed="81"/>
            <rFont val="Tahoma"/>
            <family val="2"/>
          </rPr>
          <t xml:space="preserve">
According to the National Registry (www.nremt.org):
Number passing - 1st attempt = </t>
        </r>
        <r>
          <rPr>
            <sz val="9"/>
            <color indexed="81"/>
            <rFont val="Tahoma"/>
            <family val="2"/>
          </rPr>
          <t xml:space="preserve">First time a graduate takes and passes the exam in the calendar year being reported. </t>
        </r>
        <r>
          <rPr>
            <b/>
            <sz val="9"/>
            <color indexed="81"/>
            <rFont val="Tahoma"/>
            <family val="2"/>
          </rPr>
          <t xml:space="preserve">
Number passing - 3rd attempt cumulative pass rate = </t>
        </r>
        <r>
          <rPr>
            <sz val="9"/>
            <color indexed="81"/>
            <rFont val="Tahoma"/>
            <family val="2"/>
          </rPr>
          <t xml:space="preserve">First, second, and third time a graduate takes and passes the exam in the calendar year being reported.  This does not include any subsequent attempts and passes after the third time.
</t>
        </r>
      </text>
    </comment>
    <comment ref="D117" authorId="1" shapeId="0" xr:uid="{00000000-0006-0000-0100-00000D000000}">
      <text>
        <r>
          <rPr>
            <b/>
            <sz val="9"/>
            <color indexed="81"/>
            <rFont val="Tahoma"/>
            <family val="2"/>
          </rPr>
          <t xml:space="preserve">
“Positive placement” </t>
        </r>
        <r>
          <rPr>
            <sz val="9"/>
            <color indexed="81"/>
            <rFont val="Tahoma"/>
            <family val="2"/>
          </rPr>
          <t>means that the graduate is employed full or part-time in the profession or in a related field; or continuing his/her education; or serving in the military. A related field is one in which the individual is using cognitive, psychomotor, and affective competencies acquired in the educational program.</t>
        </r>
        <r>
          <rPr>
            <b/>
            <sz val="9"/>
            <color indexed="81"/>
            <rFont val="Tahoma"/>
            <family val="2"/>
          </rPr>
          <t xml:space="preserve"> </t>
        </r>
        <r>
          <rPr>
            <sz val="9"/>
            <color indexed="81"/>
            <rFont val="Tahoma"/>
            <family val="2"/>
          </rPr>
          <t xml:space="preserve">
A Paramedic graduate employed as an EMT is not a positive placement.  If the graduate is not employed in a position that uses the Paramedic education acquired in the program, then s/he is not counted as employed in the annual report.</t>
        </r>
      </text>
    </comment>
  </commentList>
</comments>
</file>

<file path=xl/sharedStrings.xml><?xml version="1.0" encoding="utf-8"?>
<sst xmlns="http://schemas.openxmlformats.org/spreadsheetml/2006/main" count="276" uniqueCount="166">
  <si>
    <t>Distance Education</t>
  </si>
  <si>
    <t>&lt;=== Hovering your cursor over a cell with a red triangle in upper right corner reveals text.  Try it.</t>
  </si>
  <si>
    <t>Committee on Accreditation of Educational Programs for the EMS Professions (CoAEMSP), in cooperation with the Commission on Accreditation of Allied Health Education Programs (CAAHEP)</t>
  </si>
  <si>
    <t xml:space="preserve">Should you have questions as you work through the Annual Report, please contact Lynn at (214) 703-8445 ext 115 or   </t>
  </si>
  <si>
    <t>CoAEMSP 
Program #:</t>
  </si>
  <si>
    <t xml:space="preserve">City:   </t>
  </si>
  <si>
    <t>State:</t>
  </si>
  <si>
    <t xml:space="preserve">  (the 600XXX number assigned by CoAEMSP)</t>
  </si>
  <si>
    <t>Is any portion of the program offered through distance education (DE)?</t>
  </si>
  <si>
    <t>http://coaemsp.org/Policy_Procedures.htm</t>
  </si>
  <si>
    <t>Outcomes Summary</t>
  </si>
  <si>
    <t>On-time Graduation Date</t>
  </si>
  <si>
    <t>Reporting Year Totals</t>
  </si>
  <si>
    <t>GRADUATE SURVEYS</t>
  </si>
  <si>
    <t>Enrollment Date</t>
  </si>
  <si>
    <t>Total Number of Affective Responses</t>
  </si>
  <si>
    <t>RESOURCE ASSESSMENT</t>
  </si>
  <si>
    <t>Total Number of Cognitive Responses:</t>
  </si>
  <si>
    <t>Total Number of Psychomotor Responses:</t>
  </si>
  <si>
    <t xml:space="preserve"> </t>
  </si>
  <si>
    <t>Retention Threshold 70%</t>
  </si>
  <si>
    <t>Total # of Students enrolled in this cohort</t>
  </si>
  <si>
    <t>Sponsoring 
   Institution:</t>
  </si>
  <si>
    <t>Please Select</t>
  </si>
  <si>
    <t>*Number dismissed due to grades</t>
  </si>
  <si>
    <t>*Number withdrew due to grades</t>
  </si>
  <si>
    <t>*Number due to other academic</t>
  </si>
  <si>
    <t>*Number due to financial</t>
  </si>
  <si>
    <t>EMPLOYER SURVEYS</t>
  </si>
  <si>
    <t>*Number of Graduates employed</t>
  </si>
  <si>
    <t>*Successful</t>
  </si>
  <si>
    <t>*Marginal</t>
  </si>
  <si>
    <t>*Unsuccessful</t>
  </si>
  <si>
    <t>*N/A</t>
  </si>
  <si>
    <r>
      <t xml:space="preserve">Graduate Psychomotor Responses:
   </t>
    </r>
    <r>
      <rPr>
        <b/>
        <sz val="9"/>
        <color rgb="FF0070C0"/>
        <rFont val="Calibri"/>
        <family val="2"/>
        <scheme val="minor"/>
      </rPr>
      <t>*(answer required for each psychomotor response)</t>
    </r>
  </si>
  <si>
    <r>
      <t xml:space="preserve">Graduate Affective Responses:
   </t>
    </r>
    <r>
      <rPr>
        <b/>
        <sz val="9"/>
        <color rgb="FF0070C0"/>
        <rFont val="Calibri"/>
        <family val="2"/>
        <scheme val="minor"/>
      </rPr>
      <t>*(answer required for each affective response)</t>
    </r>
  </si>
  <si>
    <r>
      <t xml:space="preserve">Employer Psychomotor Responses:
 </t>
    </r>
    <r>
      <rPr>
        <b/>
        <sz val="9"/>
        <color rgb="FF0070C0"/>
        <rFont val="Calibri"/>
        <family val="2"/>
        <scheme val="minor"/>
      </rPr>
      <t>*(answer required for each psychomotor response)</t>
    </r>
  </si>
  <si>
    <r>
      <t xml:space="preserve">Employer Affective Responses:
</t>
    </r>
    <r>
      <rPr>
        <b/>
        <sz val="9"/>
        <color rgb="FF0070C0"/>
        <rFont val="Calibri"/>
        <family val="2"/>
        <scheme val="minor"/>
      </rPr>
      <t xml:space="preserve"> *(answer required for each affective response)</t>
    </r>
  </si>
  <si>
    <r>
      <t xml:space="preserve">Total Graduates in Reporting Year
</t>
    </r>
    <r>
      <rPr>
        <b/>
        <sz val="12"/>
        <color theme="5" tint="-0.249977111117893"/>
        <rFont val="Calibri"/>
        <family val="2"/>
        <scheme val="minor"/>
      </rPr>
      <t xml:space="preserve"> *(answer required for each placement
    category)</t>
    </r>
  </si>
  <si>
    <t>Subtotal # Academic Attrition Reasons</t>
  </si>
  <si>
    <t>Subtotal # Non-academic Attrition Reasons</t>
  </si>
  <si>
    <t>*Number due to medical/personal</t>
  </si>
  <si>
    <t>*Number due to other/unknown</t>
  </si>
  <si>
    <t xml:space="preserve">Attrition % </t>
  </si>
  <si>
    <t>Retention %</t>
  </si>
  <si>
    <r>
      <rPr>
        <b/>
        <sz val="12"/>
        <rFont val="Arial"/>
        <family val="2"/>
      </rPr>
      <t xml:space="preserve">*Distance Education – Method of Instruction: </t>
    </r>
    <r>
      <rPr>
        <sz val="12"/>
        <rFont val="Arial"/>
        <family val="2"/>
      </rPr>
      <t xml:space="preserve">a formal educational process in which the majority of synchronous and asynchronous instruction occurs when student and instructor are not in the same place. Distance education includes, but is not limited to, correspondence study, or audio, video, and/or computer/internet technologies.  
</t>
    </r>
    <r>
      <rPr>
        <b/>
        <sz val="12"/>
        <rFont val="Arial"/>
        <family val="2"/>
      </rPr>
      <t>*Distance Education Program:</t>
    </r>
    <r>
      <rPr>
        <sz val="12"/>
        <rFont val="Arial"/>
        <family val="2"/>
      </rPr>
      <t xml:space="preserve"> delivery of the complete program that allows the completion of the entire curriculum without the need to attend any instruction on a campus location. (Note: this delivery is not hybrid or partial e-learning delivery). To view the entire Distance Education Section see Policy XI on CoAEMSP website using the link provided below:</t>
    </r>
  </si>
  <si>
    <t xml:space="preserve">        </t>
  </si>
  <si>
    <t>Date of Submission:</t>
  </si>
  <si>
    <t>(m/d/yyyy)</t>
  </si>
  <si>
    <t>attrition</t>
  </si>
  <si>
    <t>written</t>
  </si>
  <si>
    <t>placement</t>
  </si>
  <si>
    <t>Grad</t>
  </si>
  <si>
    <t>Employ</t>
  </si>
  <si>
    <t>RAM</t>
  </si>
  <si>
    <t>cover</t>
  </si>
  <si>
    <t>Satellite</t>
  </si>
  <si>
    <t>Last</t>
  </si>
  <si>
    <t>RAM2</t>
  </si>
  <si>
    <t>mm/dd/yyyy =&gt;</t>
  </si>
  <si>
    <t>Program Director Name:</t>
  </si>
  <si>
    <t>The sponsor must maintain, and make available to the public, current and consistent summary information about student/graduate achievement that includes the results of one or more of the outcomes assessments required.</t>
  </si>
  <si>
    <t>CoAEMSP Policy IV.D.:</t>
  </si>
  <si>
    <t>annualreports@coaemsp.org</t>
  </si>
  <si>
    <r>
      <t xml:space="preserve">Total Graduates in Reporting Year
</t>
    </r>
    <r>
      <rPr>
        <b/>
        <sz val="12"/>
        <color rgb="FF0070C0"/>
        <rFont val="Calibri"/>
        <family val="2"/>
        <scheme val="minor"/>
      </rPr>
      <t xml:space="preserve"> </t>
    </r>
    <r>
      <rPr>
        <b/>
        <sz val="12"/>
        <color theme="5" tint="-0.249977111117893"/>
        <rFont val="Calibri"/>
        <family val="2"/>
        <scheme val="minor"/>
      </rPr>
      <t xml:space="preserve">*(answer required for each category below)
   </t>
    </r>
    <r>
      <rPr>
        <sz val="12"/>
        <rFont val="Calibri"/>
        <family val="2"/>
        <scheme val="minor"/>
      </rPr>
      <t xml:space="preserve"> see definitions by hovering over
    any of the red comment triangle(s)</t>
    </r>
  </si>
  <si>
    <t>National Registry / State Written Threshold 70%</t>
  </si>
  <si>
    <r>
      <rPr>
        <sz val="12"/>
        <rFont val="Calibri"/>
        <family val="2"/>
        <scheme val="minor"/>
      </rPr>
      <t>(For informational purposes only to check for accuracy)
Manually Calculate Employer Survey % Sent Results:</t>
    </r>
    <r>
      <rPr>
        <sz val="12"/>
        <rFont val="Arial"/>
        <family val="2"/>
      </rPr>
      <t xml:space="preserve">
                  </t>
    </r>
    <r>
      <rPr>
        <b/>
        <sz val="11"/>
        <rFont val="Calibri"/>
        <family val="2"/>
        <scheme val="minor"/>
      </rPr>
      <t xml:space="preserve">Employer Survey -% Sent =    </t>
    </r>
    <r>
      <rPr>
        <sz val="11"/>
        <rFont val="Calibri"/>
        <family val="2"/>
        <scheme val="minor"/>
      </rPr>
      <t>No percentage for Employer Surveys Sent; however, an Analysis and Action Plan must be provided.</t>
    </r>
  </si>
  <si>
    <t>Total Graduates in Reporting Year</t>
  </si>
  <si>
    <r>
      <rPr>
        <sz val="12"/>
        <rFont val="Calibri"/>
        <family val="2"/>
        <scheme val="minor"/>
      </rPr>
      <t>(For informational purposes only to check for accuracy)
Manually Calculate Graduate Survey % Sent Results:</t>
    </r>
    <r>
      <rPr>
        <sz val="12"/>
        <rFont val="Arial"/>
        <family val="2"/>
      </rPr>
      <t xml:space="preserve">
                  </t>
    </r>
    <r>
      <rPr>
        <b/>
        <sz val="11"/>
        <rFont val="Calibri"/>
        <family val="2"/>
        <scheme val="minor"/>
      </rPr>
      <t xml:space="preserve">Graduate Survey -% Sent =    </t>
    </r>
    <r>
      <rPr>
        <sz val="11"/>
        <rFont val="Calibri"/>
        <family val="2"/>
        <scheme val="minor"/>
      </rPr>
      <t>No percentage for Graduate Surveys Sent/Received; however, an Analysis and Action Plan must be provided.</t>
    </r>
  </si>
  <si>
    <t>National Registry / State Written 
Pass Rate Success</t>
  </si>
  <si>
    <r>
      <rPr>
        <sz val="12"/>
        <rFont val="Calibri"/>
        <family val="2"/>
        <scheme val="minor"/>
      </rPr>
      <t>(For informational purposes only to check for accuracy)
Manually Calculate NREMT/State Written Examination Results:</t>
    </r>
    <r>
      <rPr>
        <sz val="12"/>
        <rFont val="Arial"/>
        <family val="2"/>
      </rPr>
      <t xml:space="preserve">
                  </t>
    </r>
    <r>
      <rPr>
        <b/>
        <sz val="11"/>
        <rFont val="Calibri"/>
        <family val="2"/>
        <scheme val="minor"/>
      </rPr>
      <t xml:space="preserve">NREMT Pass Rate Success =         </t>
    </r>
    <r>
      <rPr>
        <u/>
        <sz val="11"/>
        <rFont val="Calibri"/>
        <family val="2"/>
        <scheme val="minor"/>
      </rPr>
      <t xml:space="preserve">                                 3rd attempt cumulative                                   </t>
    </r>
    <r>
      <rPr>
        <sz val="11"/>
        <rFont val="Calibri"/>
        <family val="2"/>
        <scheme val="minor"/>
      </rPr>
      <t xml:space="preserve">
                                                                                        # of total graduates attempting the written examination </t>
    </r>
  </si>
  <si>
    <t>(hours)</t>
  </si>
  <si>
    <t>(months)</t>
  </si>
  <si>
    <t>Capstone Field Internship</t>
  </si>
  <si>
    <t xml:space="preserve">Clinical (in-hospital, clinics, etc.) </t>
  </si>
  <si>
    <t>10)</t>
  </si>
  <si>
    <t>Field Experience
(not including Capstone)</t>
  </si>
  <si>
    <t>Associate Degree</t>
  </si>
  <si>
    <t>Baccalaureate Degree</t>
  </si>
  <si>
    <t>%  Total</t>
  </si>
  <si>
    <r>
      <rPr>
        <sz val="12"/>
        <rFont val="Calibri"/>
        <family val="2"/>
        <scheme val="minor"/>
      </rPr>
      <t>(For informational purposes only to check for accuracy)
Manually Calculate Attrition/Retention Results:</t>
    </r>
    <r>
      <rPr>
        <sz val="12"/>
        <rFont val="Arial"/>
        <family val="2"/>
      </rPr>
      <t xml:space="preserve">
                 </t>
    </r>
    <r>
      <rPr>
        <b/>
        <sz val="11"/>
        <color theme="1"/>
        <rFont val="Calibri"/>
        <family val="2"/>
        <scheme val="minor"/>
      </rPr>
      <t xml:space="preserve">Attrition =  </t>
    </r>
    <r>
      <rPr>
        <sz val="11"/>
        <color theme="1"/>
        <rFont val="Calibri"/>
        <family val="2"/>
        <scheme val="minor"/>
      </rPr>
      <t xml:space="preserve">  </t>
    </r>
    <r>
      <rPr>
        <u/>
        <sz val="11"/>
        <color theme="1"/>
        <rFont val="Calibri"/>
        <family val="2"/>
        <scheme val="minor"/>
      </rPr>
      <t xml:space="preserve"> Total # of Academic Reasons + Non-academic Reasons
</t>
    </r>
    <r>
      <rPr>
        <sz val="11"/>
        <color theme="1"/>
        <rFont val="Calibri"/>
        <family val="2"/>
        <scheme val="minor"/>
      </rPr>
      <t xml:space="preserve">                                                                           Total # of Students enrolled
                   </t>
    </r>
    <r>
      <rPr>
        <b/>
        <sz val="11"/>
        <color theme="1"/>
        <rFont val="Calibri"/>
        <family val="2"/>
        <scheme val="minor"/>
      </rPr>
      <t>Retention =</t>
    </r>
    <r>
      <rPr>
        <sz val="11"/>
        <color theme="1"/>
        <rFont val="Calibri"/>
        <family val="2"/>
        <scheme val="minor"/>
      </rPr>
      <t xml:space="preserve">     100% - Attrition</t>
    </r>
  </si>
  <si>
    <t xml:space="preserve">            Annual Report</t>
  </si>
  <si>
    <t>*Number of Graduates continuing education or  
  serving in the military in lieu of employment</t>
  </si>
  <si>
    <t>General Information</t>
  </si>
  <si>
    <t xml:space="preserve">For each group of graduating students, programs are required to conduct surveys intended for graduates who are employed and have been functioning as a Paramedic and their employers within 6-12 months after graduation using the CoAEMSP required graduate survey items.  </t>
  </si>
  <si>
    <t xml:space="preserve">For each group of graduating students, programs are required to conduct surveys intended for graduates who are employed and have been functioning as a Paramedic and their employers within 6-12 months after graduation using the CoAEMSP required employer survey items.  </t>
  </si>
  <si>
    <t xml:space="preserve">NOTE: Students at the satellite location(s) should be identified as a separate cohort(s) on the CoAEMSP Annual Report.   </t>
  </si>
  <si>
    <t xml:space="preserve">SATELLITE RETENTION / ATTRITION </t>
  </si>
  <si>
    <t>Cohorts/Classes</t>
  </si>
  <si>
    <t>Positive Placement</t>
  </si>
  <si>
    <t>The Positive Placement threshold set by the CoAEMSP is 70%.  Positive Placement means that the graduate is employed full or part-time or volunteers in the profession or in a related field; or is continuing his/her education; or is serving in the military.  A related field is one in which the individual is using cognitive, psychomotor, and affective competencies acquired in the Paramedic educational program.</t>
  </si>
  <si>
    <t>Positive Placement Threshold 70%</t>
  </si>
  <si>
    <r>
      <rPr>
        <sz val="12"/>
        <rFont val="Calibri"/>
        <family val="2"/>
        <scheme val="minor"/>
      </rPr>
      <t>(For informational purposes only to check for accuracy)
Manually Calculate Positive Placement Results:</t>
    </r>
    <r>
      <rPr>
        <sz val="12"/>
        <rFont val="Arial"/>
        <family val="2"/>
      </rPr>
      <t xml:space="preserve">
                  </t>
    </r>
    <r>
      <rPr>
        <b/>
        <sz val="11"/>
        <rFont val="Calibri"/>
        <family val="2"/>
        <scheme val="minor"/>
      </rPr>
      <t xml:space="preserve">Positive Placement =    </t>
    </r>
    <r>
      <rPr>
        <u/>
        <sz val="11"/>
        <rFont val="Calibri"/>
        <family val="2"/>
        <scheme val="minor"/>
      </rPr>
      <t xml:space="preserve"> # of graduates employed + # of graduates continuing ed/serving in the military but NOT employed</t>
    </r>
    <r>
      <rPr>
        <sz val="11"/>
        <rFont val="Calibri"/>
        <family val="2"/>
        <scheme val="minor"/>
      </rPr>
      <t xml:space="preserve">
                                                                                                                                                Total Graduates</t>
    </r>
  </si>
  <si>
    <t>No Graduates</t>
  </si>
  <si>
    <t>Satellite Attrition % (ONLY)</t>
  </si>
  <si>
    <t>Satellite Retention % (ONLY)</t>
  </si>
  <si>
    <r>
      <t xml:space="preserve">Satellite </t>
    </r>
    <r>
      <rPr>
        <b/>
        <sz val="12"/>
        <color theme="1"/>
        <rFont val="Calibri"/>
        <family val="2"/>
        <scheme val="minor"/>
      </rPr>
      <t>Academic Reasons for Attrition:</t>
    </r>
    <r>
      <rPr>
        <b/>
        <sz val="11"/>
        <color theme="1"/>
        <rFont val="Calibri"/>
        <family val="2"/>
        <scheme val="minor"/>
      </rPr>
      <t xml:space="preserve">
    </t>
    </r>
    <r>
      <rPr>
        <b/>
        <sz val="12"/>
        <color theme="1"/>
        <rFont val="Calibri"/>
        <family val="2"/>
        <scheme val="minor"/>
      </rPr>
      <t xml:space="preserve"> </t>
    </r>
    <r>
      <rPr>
        <b/>
        <sz val="12"/>
        <color theme="5" tint="-0.249977111117893"/>
        <rFont val="Calibri"/>
        <family val="2"/>
        <scheme val="minor"/>
      </rPr>
      <t>*(answer required for each academic category or results will not calculate.)</t>
    </r>
  </si>
  <si>
    <r>
      <t xml:space="preserve">Satellite </t>
    </r>
    <r>
      <rPr>
        <b/>
        <sz val="12"/>
        <color theme="1"/>
        <rFont val="Calibri"/>
        <family val="2"/>
        <scheme val="minor"/>
      </rPr>
      <t>Non-academic Reasons for Attrition:</t>
    </r>
    <r>
      <rPr>
        <b/>
        <sz val="11"/>
        <color theme="1"/>
        <rFont val="Calibri"/>
        <family val="2"/>
        <scheme val="minor"/>
      </rPr>
      <t xml:space="preserve">
    </t>
    </r>
    <r>
      <rPr>
        <b/>
        <sz val="12"/>
        <color theme="1"/>
        <rFont val="Calibri"/>
        <family val="2"/>
        <scheme val="minor"/>
      </rPr>
      <t xml:space="preserve"> </t>
    </r>
    <r>
      <rPr>
        <b/>
        <sz val="12"/>
        <color theme="5" tint="-0.249977111117893"/>
        <rFont val="Calibri"/>
        <family val="2"/>
        <scheme val="minor"/>
      </rPr>
      <t>*(answer required for each non-academic category or results will not calculate)</t>
    </r>
  </si>
  <si>
    <t>Overall Retention Threshold 70%</t>
  </si>
  <si>
    <t>SATELLITE NATIONAL REGISTRY / STATE WRITTEN EXAMINATION</t>
  </si>
  <si>
    <t>NATIONAL REGISTRY / STATE WRITTEN EXAMINATION</t>
  </si>
  <si>
    <t>SATELLITE POSITIVE PLACEMENT</t>
  </si>
  <si>
    <t>POSITIVE PLACEMENT</t>
  </si>
  <si>
    <t>Overall Positive Placement Threshold 70%</t>
  </si>
  <si>
    <t>Satellite National Registry / 
State Written Pass Rate Success</t>
  </si>
  <si>
    <r>
      <t xml:space="preserve">Total Satellite Graduates in Reporting Year
</t>
    </r>
    <r>
      <rPr>
        <b/>
        <sz val="12"/>
        <color rgb="FF0070C0"/>
        <rFont val="Calibri"/>
        <family val="2"/>
        <scheme val="minor"/>
      </rPr>
      <t xml:space="preserve"> </t>
    </r>
    <r>
      <rPr>
        <b/>
        <sz val="12"/>
        <color theme="5" tint="-0.249977111117893"/>
        <rFont val="Calibri"/>
        <family val="2"/>
        <scheme val="minor"/>
      </rPr>
      <t xml:space="preserve">*(answer required for each category below)
   </t>
    </r>
    <r>
      <rPr>
        <sz val="12"/>
        <rFont val="Calibri"/>
        <family val="2"/>
        <scheme val="minor"/>
      </rPr>
      <t xml:space="preserve"> see definitions by hovering over
    any of the red comment triangle(s)</t>
    </r>
  </si>
  <si>
    <r>
      <t xml:space="preserve">Total Satellite Graduates in Reporting Year
</t>
    </r>
    <r>
      <rPr>
        <b/>
        <sz val="12"/>
        <color theme="5" tint="-0.249977111117893"/>
        <rFont val="Calibri"/>
        <family val="2"/>
        <scheme val="minor"/>
      </rPr>
      <t xml:space="preserve"> *(answer required for each placement
    category)</t>
    </r>
  </si>
  <si>
    <t>Satellite Positive Placement</t>
  </si>
  <si>
    <t>Satellite Location(s)</t>
  </si>
  <si>
    <r>
      <rPr>
        <b/>
        <sz val="12"/>
        <rFont val="Arial"/>
        <family val="2"/>
      </rPr>
      <t xml:space="preserve">*Satellite: </t>
    </r>
    <r>
      <rPr>
        <sz val="12"/>
        <rFont val="Arial"/>
        <family val="2"/>
      </rPr>
      <t>Paramedic program satellite(s) are off-campus location(s) that are advertised or otherwise made known to individuals outside the sponsor. The off-campus location(s) must offer all the professional didactic (which may include any distance education delivery modality) and laboratory content of the program.  Satellite(s) are included in the CAAHEP accreditation of the sponsor and function under the direction of the Key Personnel of the program. The CoAEMSP may establish additional requirements that are consistent with CAAHEP Standards and policies.
Failure to obtain CoAEMSP approval for the satellite location(s) may result in Probationary Accreditation and may lead to a recommendation to CAAHEP for Withdrawal of Accreditation (see CoAEMSP Policy XIIIC).</t>
    </r>
  </si>
  <si>
    <t>Satellite # 1</t>
  </si>
  <si>
    <t>Satellite # 2</t>
  </si>
  <si>
    <t>Satellite # 3</t>
  </si>
  <si>
    <t>Satellite # 4</t>
  </si>
  <si>
    <t>Satellite # 5</t>
  </si>
  <si>
    <t>Satellite # 6</t>
  </si>
  <si>
    <t>Satellite # 7</t>
  </si>
  <si>
    <t>Satellite # 8</t>
  </si>
  <si>
    <t>Satellite # 9</t>
  </si>
  <si>
    <t>Overall National Registry / 
State Written Threshold
70%</t>
  </si>
  <si>
    <r>
      <rPr>
        <sz val="12"/>
        <rFont val="Calibri"/>
        <family val="2"/>
        <scheme val="minor"/>
      </rPr>
      <t>(For informational purposes only to check for accuracy)
Manually Calculate National Registry/State Written Examination Results:</t>
    </r>
    <r>
      <rPr>
        <sz val="12"/>
        <rFont val="Arial"/>
        <family val="2"/>
      </rPr>
      <t xml:space="preserve">
                  </t>
    </r>
    <r>
      <rPr>
        <b/>
        <sz val="11"/>
        <rFont val="Calibri"/>
        <family val="2"/>
        <scheme val="minor"/>
      </rPr>
      <t xml:space="preserve">National Registry Pass Rate Success =         </t>
    </r>
    <r>
      <rPr>
        <u/>
        <sz val="11"/>
        <rFont val="Calibri"/>
        <family val="2"/>
        <scheme val="minor"/>
      </rPr>
      <t xml:space="preserve">                                 3rd attempt cumulative                                   </t>
    </r>
    <r>
      <rPr>
        <sz val="11"/>
        <rFont val="Calibri"/>
        <family val="2"/>
        <scheme val="minor"/>
      </rPr>
      <t xml:space="preserve">
                                                                                                              # of total graduates attempting the written examination </t>
    </r>
  </si>
  <si>
    <t>*Number of Graduates Attempting the 
  Certification Examination or State License 
                   (NREMT + State)</t>
  </si>
  <si>
    <t>*Number passing - 3rd attempt cumulative 
                                        pass rate
                  (First + Second + Third Attempts)</t>
  </si>
  <si>
    <t>*Number passing - First attempt
                   (Informational Only)</t>
  </si>
  <si>
    <t>*Number passing - First attempt
                     (Informational Only)</t>
  </si>
  <si>
    <t>*Number passing - 3rd attempt cumulative 
                                        pass rate
                    (First + Second + Third Attempts)</t>
  </si>
  <si>
    <r>
      <t xml:space="preserve">Total Number of Graduate Surveys Sent
</t>
    </r>
    <r>
      <rPr>
        <b/>
        <sz val="11"/>
        <color theme="5" tint="-0.249977111117893"/>
        <rFont val="Calibri"/>
        <family val="2"/>
        <scheme val="minor"/>
      </rPr>
      <t xml:space="preserve">    (answer required for this category)</t>
    </r>
  </si>
  <si>
    <r>
      <t xml:space="preserve">Total Number of Graduate Surveys Received
</t>
    </r>
    <r>
      <rPr>
        <b/>
        <sz val="11"/>
        <color theme="5" tint="-0.249977111117893"/>
        <rFont val="Calibri"/>
        <family val="2"/>
        <scheme val="minor"/>
      </rPr>
      <t xml:space="preserve">    (answer required for this category)</t>
    </r>
  </si>
  <si>
    <t>REQUIRED: A detailed ACTION PLAN for Graduate Surveys in the box below</t>
  </si>
  <si>
    <t>REQUIRED: A detailed ANALYSIS for Graduate Surveys in the box below</t>
  </si>
  <si>
    <t>REQUIRED: A detailed ANALYSIS for Employer Surveys in the box below</t>
  </si>
  <si>
    <r>
      <rPr>
        <b/>
        <sz val="12"/>
        <color theme="1"/>
        <rFont val="Calibri"/>
        <family val="2"/>
        <scheme val="minor"/>
      </rPr>
      <t>Total Number of Surveys Sent to Employers of 
   Graduates</t>
    </r>
    <r>
      <rPr>
        <b/>
        <sz val="11"/>
        <color theme="1"/>
        <rFont val="Calibri"/>
        <family val="2"/>
        <scheme val="minor"/>
      </rPr>
      <t xml:space="preserve">
</t>
    </r>
    <r>
      <rPr>
        <b/>
        <sz val="11"/>
        <color theme="5" tint="-0.249977111117893"/>
        <rFont val="Calibri"/>
        <family val="2"/>
        <scheme val="minor"/>
      </rPr>
      <t xml:space="preserve">   (answer required for this category)</t>
    </r>
  </si>
  <si>
    <t>REQUIRED: A detailed ACTION PLAN for Employer Surveys in the box below</t>
  </si>
  <si>
    <r>
      <rPr>
        <b/>
        <sz val="12"/>
        <color theme="1"/>
        <rFont val="Calibri"/>
        <family val="2"/>
        <scheme val="minor"/>
      </rPr>
      <t>Total Number of Surveys Returned from 
   Employers of Graduates</t>
    </r>
    <r>
      <rPr>
        <b/>
        <sz val="11"/>
        <color theme="1"/>
        <rFont val="Calibri"/>
        <family val="2"/>
        <scheme val="minor"/>
      </rPr>
      <t xml:space="preserve">
</t>
    </r>
    <r>
      <rPr>
        <b/>
        <sz val="11"/>
        <color theme="5" tint="-0.249977111117893"/>
        <rFont val="Calibri"/>
        <family val="2"/>
        <scheme val="minor"/>
      </rPr>
      <t xml:space="preserve">   (answer required for this category)</t>
    </r>
  </si>
  <si>
    <t>Number enrolled after 10% of total clock hours</t>
  </si>
  <si>
    <r>
      <rPr>
        <sz val="12"/>
        <rFont val="Calibri"/>
        <family val="2"/>
        <scheme val="minor"/>
      </rPr>
      <t>(For informational purposes only to check for accuracy)
Manually Calculate Attrition/Retention Results:</t>
    </r>
    <r>
      <rPr>
        <sz val="12"/>
        <rFont val="Arial"/>
        <family val="2"/>
      </rPr>
      <t xml:space="preserve">
                 </t>
    </r>
    <r>
      <rPr>
        <b/>
        <sz val="11"/>
        <color theme="1"/>
        <rFont val="Calibri"/>
        <family val="2"/>
        <scheme val="minor"/>
      </rPr>
      <t xml:space="preserve">Attrition =  </t>
    </r>
    <r>
      <rPr>
        <sz val="11"/>
        <color theme="1"/>
        <rFont val="Calibri"/>
        <family val="2"/>
        <scheme val="minor"/>
      </rPr>
      <t xml:space="preserve">  </t>
    </r>
    <r>
      <rPr>
        <u/>
        <sz val="11"/>
        <color theme="1"/>
        <rFont val="Calibri"/>
        <family val="2"/>
        <scheme val="minor"/>
      </rPr>
      <t xml:space="preserve"> Total # of Academic Reasons + Non-academic Reasons
</t>
    </r>
    <r>
      <rPr>
        <sz val="11"/>
        <color theme="1"/>
        <rFont val="Calibri"/>
        <family val="2"/>
        <scheme val="minor"/>
      </rPr>
      <t xml:space="preserve">                                                      Number enrolled after 10% of total clock hours
                   </t>
    </r>
    <r>
      <rPr>
        <b/>
        <sz val="11"/>
        <color theme="1"/>
        <rFont val="Calibri"/>
        <family val="2"/>
        <scheme val="minor"/>
      </rPr>
      <t>Retention =</t>
    </r>
    <r>
      <rPr>
        <sz val="11"/>
        <color theme="1"/>
        <rFont val="Calibri"/>
        <family val="2"/>
        <scheme val="minor"/>
      </rPr>
      <t xml:space="preserve">     100% - Attrition</t>
    </r>
  </si>
  <si>
    <t>9)</t>
  </si>
  <si>
    <t xml:space="preserve"> %</t>
  </si>
  <si>
    <t>CAAHEP Standard V.A.4.:</t>
  </si>
  <si>
    <t>Certificate/Diploma</t>
  </si>
  <si>
    <t xml:space="preserve">By selecting "Yes", I attest that the information in this submission is true and correct, and an accurate description of the Paramedic educational program.  </t>
  </si>
  <si>
    <r>
      <rPr>
        <b/>
        <sz val="12"/>
        <color theme="1"/>
        <rFont val="Calibri"/>
        <family val="2"/>
        <scheme val="minor"/>
      </rPr>
      <t>Non-academic Reasons for Attrition (after 10% completion):</t>
    </r>
    <r>
      <rPr>
        <b/>
        <sz val="11"/>
        <color theme="1"/>
        <rFont val="Calibri"/>
        <family val="2"/>
        <scheme val="minor"/>
      </rPr>
      <t xml:space="preserve">
    </t>
    </r>
    <r>
      <rPr>
        <b/>
        <sz val="12"/>
        <color theme="1"/>
        <rFont val="Calibri"/>
        <family val="2"/>
        <scheme val="minor"/>
      </rPr>
      <t xml:space="preserve"> </t>
    </r>
    <r>
      <rPr>
        <b/>
        <sz val="12"/>
        <color theme="5" tint="-0.249977111117893"/>
        <rFont val="Calibri"/>
        <family val="2"/>
        <scheme val="minor"/>
      </rPr>
      <t>*(answer required for each non-academic category or results will not calculate)</t>
    </r>
  </si>
  <si>
    <r>
      <rPr>
        <b/>
        <sz val="12"/>
        <color theme="1"/>
        <rFont val="Calibri"/>
        <family val="2"/>
        <scheme val="minor"/>
      </rPr>
      <t>Academic Reasons for Attrition (after 10% completion):</t>
    </r>
    <r>
      <rPr>
        <b/>
        <sz val="11"/>
        <color theme="1"/>
        <rFont val="Calibri"/>
        <family val="2"/>
        <scheme val="minor"/>
      </rPr>
      <t xml:space="preserve">
    </t>
    </r>
    <r>
      <rPr>
        <b/>
        <sz val="12"/>
        <color theme="1"/>
        <rFont val="Calibri"/>
        <family val="2"/>
        <scheme val="minor"/>
      </rPr>
      <t xml:space="preserve"> </t>
    </r>
    <r>
      <rPr>
        <b/>
        <sz val="12"/>
        <color theme="5" tint="-0.249977111117893"/>
        <rFont val="Calibri"/>
        <family val="2"/>
        <scheme val="minor"/>
      </rPr>
      <t>*(answer required for each academic category or results will not calculate.)</t>
    </r>
  </si>
  <si>
    <t xml:space="preserve">Didactic (classroom, lecture) </t>
  </si>
  <si>
    <t>Laboratory</t>
  </si>
  <si>
    <t>Please note:      All percentage cells must contain a number, should not be 
                                left blank, and cannot exceed 100% when combined.</t>
  </si>
  <si>
    <t>Please note:      The number of clock hours listed below must equal the 
                                total number of clock hours reported in question 1 above.</t>
  </si>
  <si>
    <t>The Positive Placement outcome threshold set by the CoAEMSP is 70%.  Positive Placement means that the graduate is employed full or part-time or volunteers in the profession or in a related field; or is continuing his/her education; or is serving in the military.  A related field is one in which the individual is using cognitive, psychomotor, and affective competencies acquired in the Paramedic educational program.</t>
  </si>
  <si>
    <t>Sponsor/Program:</t>
  </si>
  <si>
    <t>*Number of Graduates Attempting the 
   National Registry or State Written 
   Examination</t>
  </si>
  <si>
    <t xml:space="preserve">RETENTION </t>
  </si>
  <si>
    <t>Hide 9</t>
  </si>
  <si>
    <t>Hide 10</t>
  </si>
  <si>
    <t>All programs (accredited and LoR) must publish their latest annual outcomes results for the National Registry or State Written Exam, Retention, and Placement on the paramedic program's homepage of their website.  At all times, the published results must be consistent with and verifiable by the latest Annual Report of the program.</t>
  </si>
  <si>
    <t xml:space="preserve">Programs (CoAEMSP LoR &amp; CAAHEP accredited) must conduct Resource Assessment at least annually (Standard IIID) and are required to complete a Resource Assessment Matrix (RAM) which includes ten (10) categories [Faculty, Medical Director, Support Personnel, Curriculum, Financial Resources, Facilities, Clinical Resources, Field Internship Resources, Learning Resources, and Physician Interaction].   If programs have identified deficiencies in resources, an action plan and follow up are required to address those deficiencies.  The Advisory Committee should be involved in both assessing the resources and reviewing the result.  All resource assessment documents (i.e. student and personnel surveys, matrix, and data collection spreadsheet) are located in the Resource Assessment section on the Resource Library page of the CoAEMSP website. </t>
  </si>
  <si>
    <t>CoAEMSP Resource Library</t>
  </si>
  <si>
    <r>
      <t>Did the program have students enrolled in</t>
    </r>
    <r>
      <rPr>
        <b/>
        <sz val="11"/>
        <color theme="1"/>
        <rFont val="Calibri"/>
        <family val="2"/>
        <scheme val="minor"/>
      </rPr>
      <t xml:space="preserve"> </t>
    </r>
    <r>
      <rPr>
        <b/>
        <u/>
        <sz val="11"/>
        <color theme="1"/>
        <rFont val="Calibri"/>
        <family val="2"/>
        <scheme val="minor"/>
      </rPr>
      <t>2024</t>
    </r>
    <r>
      <rPr>
        <sz val="11"/>
        <color theme="1"/>
        <rFont val="Calibri"/>
        <family val="2"/>
        <scheme val="minor"/>
      </rPr>
      <t>?</t>
    </r>
  </si>
  <si>
    <t>Accordance Community College</t>
  </si>
  <si>
    <t>TX</t>
  </si>
  <si>
    <t>Continuing Accreditation</t>
  </si>
  <si>
    <t>Origins</t>
  </si>
  <si>
    <t xml:space="preserve">www.originscc.org/paramedic </t>
  </si>
  <si>
    <t>Yes</t>
  </si>
  <si>
    <t>No</t>
  </si>
  <si>
    <t>National Registry</t>
  </si>
  <si>
    <t xml:space="preserve">Genesis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</si>
</sst>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7"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sz val="10"/>
      <color theme="1"/>
      <name val="Arial"/>
      <family val="2"/>
    </font>
    <font>
      <u/>
      <sz val="11"/>
      <color theme="10"/>
      <name val="Calibri"/>
      <family val="2"/>
      <scheme val="minor"/>
    </font>
    <font>
      <sz val="14"/>
      <color rgb="FF003080"/>
      <name val="Arial"/>
      <family val="2"/>
    </font>
    <font>
      <sz val="11"/>
      <color rgb="FF0070C0"/>
      <name val="Calibri"/>
      <family val="2"/>
      <scheme val="minor"/>
    </font>
    <font>
      <b/>
      <sz val="14"/>
      <color theme="7" tint="-0.499984740745262"/>
      <name val="Arial"/>
      <family val="2"/>
    </font>
    <font>
      <sz val="11"/>
      <color theme="6" tint="-0.499984740745262"/>
      <name val="Calibri"/>
      <family val="2"/>
      <scheme val="minor"/>
    </font>
    <font>
      <b/>
      <sz val="10"/>
      <color theme="1"/>
      <name val="Arial"/>
      <family val="2"/>
    </font>
    <font>
      <sz val="10"/>
      <name val="Arial"/>
      <family val="2"/>
    </font>
    <font>
      <sz val="10"/>
      <color indexed="53"/>
      <name val="Arial"/>
      <family val="2"/>
    </font>
    <font>
      <b/>
      <sz val="8"/>
      <color indexed="81"/>
      <name val="Tahoma"/>
      <family val="2"/>
    </font>
    <font>
      <b/>
      <sz val="10"/>
      <color rgb="FF008000"/>
      <name val="Arial"/>
      <family val="2"/>
    </font>
    <font>
      <b/>
      <sz val="11"/>
      <color rgb="FFC00000"/>
      <name val="Calibri"/>
      <family val="2"/>
      <scheme val="minor"/>
    </font>
    <font>
      <sz val="11"/>
      <color rgb="FF002060"/>
      <name val="Arial"/>
      <family val="2"/>
    </font>
    <font>
      <i/>
      <sz val="11"/>
      <color theme="6" tint="-0.499984740745262"/>
      <name val="Calibri"/>
      <family val="2"/>
      <scheme val="minor"/>
    </font>
    <font>
      <sz val="11"/>
      <name val="Arial"/>
      <family val="2"/>
    </font>
    <font>
      <sz val="11"/>
      <color rgb="FFFF0000"/>
      <name val="Calibri"/>
      <family val="2"/>
      <scheme val="minor"/>
    </font>
    <font>
      <b/>
      <sz val="36"/>
      <color theme="8"/>
      <name val="Calibri"/>
      <family val="2"/>
      <scheme val="minor"/>
    </font>
    <font>
      <b/>
      <sz val="14"/>
      <color rgb="FFC00000"/>
      <name val="Arial"/>
      <family val="2"/>
    </font>
    <font>
      <sz val="12"/>
      <name val="Arial"/>
      <family val="2"/>
    </font>
    <font>
      <b/>
      <sz val="12"/>
      <name val="Arial"/>
      <family val="2"/>
    </font>
    <font>
      <b/>
      <sz val="12"/>
      <color theme="1"/>
      <name val="Calibri"/>
      <family val="2"/>
      <scheme val="minor"/>
    </font>
    <font>
      <b/>
      <sz val="14"/>
      <color theme="0"/>
      <name val="Calibri"/>
      <family val="2"/>
      <scheme val="minor"/>
    </font>
    <font>
      <u/>
      <sz val="14"/>
      <color theme="10"/>
      <name val="Calibri"/>
      <family val="2"/>
      <scheme val="minor"/>
    </font>
    <font>
      <u/>
      <sz val="11"/>
      <color theme="1"/>
      <name val="Calibri"/>
      <family val="2"/>
      <scheme val="minor"/>
    </font>
    <font>
      <b/>
      <sz val="18"/>
      <color theme="8"/>
      <name val="Arial"/>
      <family val="2"/>
    </font>
    <font>
      <b/>
      <sz val="14"/>
      <color theme="1"/>
      <name val="Calibri"/>
      <family val="2"/>
      <scheme val="minor"/>
    </font>
    <font>
      <b/>
      <sz val="18"/>
      <color theme="1"/>
      <name val="Calibri"/>
      <family val="2"/>
      <scheme val="minor"/>
    </font>
    <font>
      <b/>
      <sz val="11"/>
      <name val="Calibri"/>
      <family val="2"/>
      <scheme val="minor"/>
    </font>
    <font>
      <sz val="12"/>
      <name val="Calibri"/>
      <family val="2"/>
      <scheme val="minor"/>
    </font>
    <font>
      <u/>
      <sz val="11"/>
      <name val="Calibri"/>
      <family val="2"/>
      <scheme val="minor"/>
    </font>
    <font>
      <b/>
      <sz val="18"/>
      <color theme="7" tint="-0.499984740745262"/>
      <name val="Calibri"/>
      <family val="2"/>
      <scheme val="minor"/>
    </font>
    <font>
      <b/>
      <sz val="16"/>
      <color rgb="FFC00000"/>
      <name val="Calibri"/>
      <family val="2"/>
      <scheme val="minor"/>
    </font>
    <font>
      <b/>
      <sz val="22"/>
      <name val="Calibri"/>
      <family val="2"/>
      <scheme val="minor"/>
    </font>
    <font>
      <b/>
      <sz val="11"/>
      <color theme="9"/>
      <name val="Calibri"/>
      <family val="2"/>
      <scheme val="minor"/>
    </font>
    <font>
      <sz val="11"/>
      <color theme="8" tint="-0.249977111117893"/>
      <name val="Calibri"/>
      <family val="2"/>
      <scheme val="minor"/>
    </font>
    <font>
      <b/>
      <sz val="11"/>
      <color theme="9" tint="-0.249977111117893"/>
      <name val="Calibri"/>
      <family val="2"/>
      <scheme val="minor"/>
    </font>
    <font>
      <b/>
      <sz val="14"/>
      <color rgb="FF0070C0"/>
      <name val="Calibri"/>
      <family val="2"/>
      <scheme val="minor"/>
    </font>
    <font>
      <b/>
      <sz val="12"/>
      <color rgb="FF0070C0"/>
      <name val="Calibri"/>
      <family val="2"/>
      <scheme val="minor"/>
    </font>
    <font>
      <sz val="11"/>
      <color theme="0" tint="-0.34998626667073579"/>
      <name val="Calibri"/>
      <family val="2"/>
      <scheme val="minor"/>
    </font>
    <font>
      <sz val="10"/>
      <color rgb="FF0070C0"/>
      <name val="Calibri"/>
      <family val="2"/>
      <scheme val="minor"/>
    </font>
    <font>
      <i/>
      <sz val="11"/>
      <color theme="1"/>
      <name val="Calibri"/>
      <family val="2"/>
      <scheme val="minor"/>
    </font>
    <font>
      <sz val="11"/>
      <color theme="10"/>
      <name val="Calibri"/>
      <family val="2"/>
      <scheme val="minor"/>
    </font>
    <font>
      <b/>
      <sz val="11"/>
      <color rgb="FF0070C0"/>
      <name val="Calibri"/>
      <family val="2"/>
      <scheme val="minor"/>
    </font>
    <font>
      <b/>
      <sz val="9"/>
      <color rgb="FF0070C0"/>
      <name val="Calibri"/>
      <family val="2"/>
      <scheme val="minor"/>
    </font>
    <font>
      <b/>
      <sz val="22"/>
      <color theme="1"/>
      <name val="Calibri"/>
      <family val="2"/>
      <scheme val="minor"/>
    </font>
    <font>
      <b/>
      <sz val="22"/>
      <color rgb="FFC00000"/>
      <name val="Calibri"/>
      <family val="2"/>
      <scheme val="minor"/>
    </font>
    <font>
      <b/>
      <sz val="12"/>
      <color theme="5" tint="-0.249977111117893"/>
      <name val="Calibri"/>
      <family val="2"/>
      <scheme val="minor"/>
    </font>
    <font>
      <b/>
      <sz val="11"/>
      <color theme="5" tint="-0.249977111117893"/>
      <name val="Calibri"/>
      <family val="2"/>
      <scheme val="minor"/>
    </font>
    <font>
      <sz val="11"/>
      <color theme="5" tint="-0.249977111117893"/>
      <name val="Calibri"/>
      <family val="2"/>
      <scheme val="minor"/>
    </font>
    <font>
      <b/>
      <sz val="20"/>
      <color theme="1"/>
      <name val="Calibri"/>
      <family val="2"/>
      <scheme val="minor"/>
    </font>
    <font>
      <sz val="11"/>
      <color rgb="FFC00000"/>
      <name val="Calibri"/>
      <family val="2"/>
      <scheme val="minor"/>
    </font>
    <font>
      <sz val="9"/>
      <color indexed="81"/>
      <name val="Tahoma"/>
      <family val="2"/>
    </font>
    <font>
      <b/>
      <sz val="9"/>
      <color indexed="81"/>
      <name val="Tahoma"/>
      <family val="2"/>
    </font>
    <font>
      <b/>
      <sz val="11"/>
      <color theme="8" tint="-0.249977111117893"/>
      <name val="Calibri"/>
      <family val="2"/>
      <scheme val="minor"/>
    </font>
    <font>
      <sz val="14"/>
      <color rgb="FFC00000"/>
      <name val="Calibri"/>
      <family val="2"/>
      <scheme val="minor"/>
    </font>
    <font>
      <sz val="11"/>
      <color theme="0" tint="-0.499984740745262"/>
      <name val="Calibri"/>
      <family val="2"/>
      <scheme val="minor"/>
    </font>
    <font>
      <sz val="10"/>
      <color theme="0"/>
      <name val="Arial"/>
      <family val="2"/>
    </font>
    <font>
      <b/>
      <sz val="11"/>
      <color rgb="FFFF0000"/>
      <name val="Calibri"/>
      <family val="2"/>
      <scheme val="minor"/>
    </font>
    <font>
      <u/>
      <sz val="11"/>
      <color rgb="FF0070C0"/>
      <name val="Calibri"/>
      <family val="2"/>
      <scheme val="minor"/>
    </font>
    <font>
      <b/>
      <sz val="11"/>
      <color theme="0"/>
      <name val="Calibri"/>
      <family val="2"/>
      <scheme val="minor"/>
    </font>
    <font>
      <b/>
      <sz val="11"/>
      <color rgb="FF002060"/>
      <name val="Arial"/>
      <family val="2"/>
    </font>
    <font>
      <b/>
      <sz val="12"/>
      <name val="Calibri"/>
      <family val="2"/>
      <scheme val="minor"/>
    </font>
    <font>
      <i/>
      <sz val="11"/>
      <color rgb="FFFF0000"/>
      <name val="Calibri"/>
      <family val="2"/>
      <scheme val="minor"/>
    </font>
    <font>
      <sz val="12"/>
      <color rgb="FF0070C0"/>
      <name val="Calibri"/>
      <family val="2"/>
      <scheme val="minor"/>
    </font>
    <font>
      <b/>
      <sz val="12"/>
      <color rgb="FFC00000"/>
      <name val="Calibri"/>
      <family val="2"/>
      <scheme val="minor"/>
    </font>
    <font>
      <sz val="22"/>
      <name val="Calibri"/>
      <family val="2"/>
      <scheme val="minor"/>
    </font>
    <font>
      <b/>
      <sz val="28"/>
      <color rgb="FF002060"/>
      <name val="Arial"/>
      <family val="2"/>
    </font>
    <font>
      <b/>
      <sz val="11"/>
      <color theme="1"/>
      <name val="Arial"/>
      <family val="2"/>
    </font>
    <font>
      <b/>
      <sz val="16"/>
      <color theme="1"/>
      <name val="Calibri"/>
      <family val="2"/>
      <scheme val="minor"/>
    </font>
    <font>
      <b/>
      <sz val="22"/>
      <color rgb="FF0070C0"/>
      <name val="Calibri"/>
      <family val="2"/>
      <scheme val="minor"/>
    </font>
    <font>
      <b/>
      <sz val="12"/>
      <color theme="1"/>
      <name val="Arial"/>
      <family val="2"/>
    </font>
    <font>
      <i/>
      <sz val="12"/>
      <color theme="1"/>
      <name val="Calibri"/>
      <family val="2"/>
      <scheme val="minor"/>
    </font>
    <font>
      <b/>
      <sz val="12"/>
      <color theme="0"/>
      <name val="Calibri"/>
      <family val="2"/>
      <scheme val="minor"/>
    </font>
    <font>
      <sz val="22"/>
      <color theme="0"/>
      <name val="Calibri"/>
      <family val="2"/>
      <scheme val="minor"/>
    </font>
    <font>
      <i/>
      <sz val="11"/>
      <name val="Calibri"/>
      <family val="2"/>
      <scheme val="minor"/>
    </font>
    <font>
      <sz val="10"/>
      <color theme="0"/>
      <name val="Calibri"/>
      <family val="2"/>
      <scheme val="minor"/>
    </font>
    <font>
      <sz val="12"/>
      <color theme="1"/>
      <name val="Calibri"/>
      <family val="2"/>
      <scheme val="minor"/>
    </font>
    <font>
      <b/>
      <sz val="11"/>
      <name val="Arial"/>
      <family val="2"/>
    </font>
    <font>
      <i/>
      <sz val="11"/>
      <color theme="0"/>
      <name val="Calibri"/>
      <family val="2"/>
      <scheme val="minor"/>
    </font>
    <font>
      <sz val="14"/>
      <color theme="0"/>
      <name val="Arial"/>
      <family val="2"/>
    </font>
    <font>
      <b/>
      <sz val="10"/>
      <name val="Arial"/>
      <family val="2"/>
    </font>
    <font>
      <b/>
      <u/>
      <sz val="11"/>
      <color theme="1"/>
      <name val="Calibri"/>
      <family val="2"/>
      <scheme val="minor"/>
    </font>
  </fonts>
  <fills count="28">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rgb="FFEFF6FB"/>
        <bgColor indexed="64"/>
      </patternFill>
    </fill>
    <fill>
      <patternFill patternType="solid">
        <fgColor indexed="42"/>
        <bgColor indexed="64"/>
      </patternFill>
    </fill>
    <fill>
      <patternFill patternType="solid">
        <fgColor theme="5" tint="0.79998168889431442"/>
        <bgColor indexed="64"/>
      </patternFill>
    </fill>
    <fill>
      <patternFill patternType="solid">
        <fgColor theme="0"/>
        <bgColor indexed="64"/>
      </patternFill>
    </fill>
    <fill>
      <patternFill patternType="solid">
        <fgColor rgb="FFE4D2F2"/>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83E7F1"/>
        <bgColor indexed="64"/>
      </patternFill>
    </fill>
    <fill>
      <patternFill patternType="solid">
        <fgColor rgb="FFCFF5F9"/>
        <bgColor indexed="64"/>
      </patternFill>
    </fill>
    <fill>
      <patternFill patternType="solid">
        <fgColor rgb="FFDED8F8"/>
        <bgColor indexed="64"/>
      </patternFill>
    </fill>
    <fill>
      <patternFill patternType="solid">
        <fgColor rgb="FFB8ABEF"/>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E1A7BD"/>
        <bgColor indexed="64"/>
      </patternFill>
    </fill>
    <fill>
      <patternFill patternType="solid">
        <fgColor rgb="FFF4E0E7"/>
        <bgColor indexed="64"/>
      </patternFill>
    </fill>
    <fill>
      <patternFill patternType="solid">
        <fgColor rgb="FFFFF0C5"/>
        <bgColor indexed="64"/>
      </patternFill>
    </fill>
    <fill>
      <patternFill patternType="solid">
        <fgColor rgb="FFD2F3F8"/>
        <bgColor indexed="64"/>
      </patternFill>
    </fill>
    <fill>
      <patternFill patternType="solid">
        <fgColor rgb="FFE6E6FA"/>
        <bgColor indexed="64"/>
      </patternFill>
    </fill>
    <fill>
      <patternFill patternType="solid">
        <fgColor rgb="FFABD8F7"/>
        <bgColor indexed="64"/>
      </patternFill>
    </fill>
    <fill>
      <patternFill patternType="solid">
        <fgColor rgb="FFDCEFFC"/>
        <bgColor indexed="64"/>
      </patternFill>
    </fill>
    <fill>
      <patternFill patternType="solid">
        <fgColor theme="9" tint="0.39997558519241921"/>
        <bgColor indexed="64"/>
      </patternFill>
    </fill>
    <fill>
      <patternFill patternType="solid">
        <fgColor rgb="FF1E284E"/>
        <bgColor indexed="64"/>
      </patternFill>
    </fill>
    <fill>
      <patternFill patternType="solid">
        <fgColor rgb="FFC3CBE7"/>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xf numFmtId="0" fontId="6" fillId="0" borderId="0" applyNumberFormat="0" applyFill="0" applyBorder="0" applyAlignment="0" applyProtection="0"/>
    <xf numFmtId="9" fontId="1" fillId="0" borderId="0" applyFont="0" applyFill="0" applyBorder="0" applyAlignment="0" applyProtection="0"/>
  </cellStyleXfs>
  <cellXfs count="614">
    <xf numFmtId="0" fontId="0" fillId="0" borderId="0" xfId="0"/>
    <xf numFmtId="0" fontId="7" fillId="0" borderId="0" xfId="0" applyFont="1" applyAlignment="1">
      <alignment horizontal="center"/>
    </xf>
    <xf numFmtId="0" fontId="0" fillId="0" borderId="0" xfId="0" quotePrefix="1"/>
    <xf numFmtId="0" fontId="3" fillId="0" borderId="0" xfId="0" applyFont="1"/>
    <xf numFmtId="0" fontId="0" fillId="0" borderId="0" xfId="0" applyAlignment="1">
      <alignment horizontal="right"/>
    </xf>
    <xf numFmtId="0" fontId="0" fillId="0" borderId="0" xfId="0" applyAlignment="1">
      <alignment vertical="top"/>
    </xf>
    <xf numFmtId="0" fontId="13" fillId="0" borderId="0" xfId="0" applyFont="1" applyAlignment="1">
      <alignment horizontal="left" vertical="center" wrapText="1" indent="1"/>
    </xf>
    <xf numFmtId="0" fontId="12" fillId="5" borderId="1" xfId="0" applyFont="1" applyFill="1" applyBorder="1" applyAlignment="1">
      <alignment horizontal="left" vertical="center" wrapText="1" indent="1"/>
    </xf>
    <xf numFmtId="0" fontId="0" fillId="0" borderId="0" xfId="0" quotePrefix="1" applyAlignment="1">
      <alignment vertical="center"/>
    </xf>
    <xf numFmtId="0" fontId="0" fillId="0" borderId="0" xfId="0" applyAlignment="1">
      <alignment horizontal="center" vertical="center"/>
    </xf>
    <xf numFmtId="0" fontId="20" fillId="0" borderId="0" xfId="0" applyFont="1"/>
    <xf numFmtId="0" fontId="0" fillId="0" borderId="0" xfId="0" applyAlignment="1">
      <alignment vertical="center"/>
    </xf>
    <xf numFmtId="0" fontId="11" fillId="0" borderId="0" xfId="0" applyFont="1" applyAlignment="1">
      <alignment horizontal="center" vertical="center" wrapText="1"/>
    </xf>
    <xf numFmtId="0" fontId="11" fillId="0" borderId="0" xfId="0" applyFont="1" applyAlignment="1">
      <alignment horizontal="right" vertical="center"/>
    </xf>
    <xf numFmtId="0" fontId="18" fillId="0" borderId="0" xfId="0" applyFont="1" applyAlignment="1">
      <alignment vertical="center"/>
    </xf>
    <xf numFmtId="0" fontId="18" fillId="0" borderId="0" xfId="0" applyFont="1" applyAlignment="1">
      <alignment horizontal="center"/>
    </xf>
    <xf numFmtId="0" fontId="18" fillId="0" borderId="0" xfId="0" applyFont="1"/>
    <xf numFmtId="0" fontId="2" fillId="11" borderId="1" xfId="0" applyFont="1" applyFill="1" applyBorder="1" applyAlignment="1">
      <alignment horizontal="center" vertical="center" wrapText="1"/>
    </xf>
    <xf numFmtId="0" fontId="2" fillId="11" borderId="1" xfId="0" applyFont="1" applyFill="1" applyBorder="1" applyAlignment="1">
      <alignment horizontal="center" wrapText="1"/>
    </xf>
    <xf numFmtId="0" fontId="2" fillId="7" borderId="14" xfId="0" applyFont="1" applyFill="1" applyBorder="1" applyAlignment="1">
      <alignment vertical="center"/>
    </xf>
    <xf numFmtId="0" fontId="2" fillId="12" borderId="1" xfId="0" applyFont="1" applyFill="1" applyBorder="1" applyAlignment="1">
      <alignment horizontal="center" vertical="center" wrapText="1"/>
    </xf>
    <xf numFmtId="0" fontId="9" fillId="12" borderId="11" xfId="0" applyFont="1" applyFill="1" applyBorder="1"/>
    <xf numFmtId="0" fontId="9" fillId="12" borderId="13" xfId="0" applyFont="1" applyFill="1" applyBorder="1"/>
    <xf numFmtId="0" fontId="30" fillId="0" borderId="4" xfId="0" applyFont="1" applyBorder="1" applyAlignment="1">
      <alignment horizontal="center" vertical="center"/>
    </xf>
    <xf numFmtId="0" fontId="9" fillId="9" borderId="11" xfId="0" applyFont="1" applyFill="1" applyBorder="1" applyAlignment="1">
      <alignment vertical="center"/>
    </xf>
    <xf numFmtId="0" fontId="9" fillId="9" borderId="13" xfId="0" applyFont="1" applyFill="1" applyBorder="1" applyAlignment="1">
      <alignment vertical="center"/>
    </xf>
    <xf numFmtId="0" fontId="9" fillId="15" borderId="10" xfId="0" applyFont="1" applyFill="1" applyBorder="1" applyAlignment="1">
      <alignment vertical="center"/>
    </xf>
    <xf numFmtId="0" fontId="9" fillId="15" borderId="11" xfId="0" applyFont="1" applyFill="1" applyBorder="1"/>
    <xf numFmtId="0" fontId="9" fillId="15" borderId="13" xfId="0" applyFont="1" applyFill="1" applyBorder="1"/>
    <xf numFmtId="0" fontId="35" fillId="9" borderId="10" xfId="0" applyFont="1" applyFill="1" applyBorder="1" applyAlignment="1">
      <alignment vertical="center"/>
    </xf>
    <xf numFmtId="0" fontId="35" fillId="12" borderId="10" xfId="0" applyFont="1" applyFill="1" applyBorder="1" applyAlignment="1">
      <alignment vertical="center"/>
    </xf>
    <xf numFmtId="0" fontId="2" fillId="7" borderId="3" xfId="0" applyFont="1" applyFill="1" applyBorder="1" applyAlignment="1">
      <alignment vertical="center"/>
    </xf>
    <xf numFmtId="0" fontId="9" fillId="17" borderId="10" xfId="0" applyFont="1" applyFill="1" applyBorder="1" applyAlignment="1">
      <alignment vertical="center"/>
    </xf>
    <xf numFmtId="0" fontId="9" fillId="17" borderId="11" xfId="0" applyFont="1" applyFill="1" applyBorder="1"/>
    <xf numFmtId="0" fontId="9" fillId="17" borderId="13" xfId="0" applyFont="1" applyFill="1" applyBorder="1"/>
    <xf numFmtId="0" fontId="30" fillId="6" borderId="0" xfId="0" applyFont="1" applyFill="1" applyAlignment="1">
      <alignment vertical="center"/>
    </xf>
    <xf numFmtId="0" fontId="30" fillId="7" borderId="0" xfId="0" applyFont="1" applyFill="1" applyAlignment="1">
      <alignment vertical="center"/>
    </xf>
    <xf numFmtId="0" fontId="25" fillId="0" borderId="0" xfId="0" applyFont="1"/>
    <xf numFmtId="0" fontId="16" fillId="0" borderId="0" xfId="0" applyFont="1" applyAlignment="1">
      <alignment wrapText="1"/>
    </xf>
    <xf numFmtId="0" fontId="20" fillId="7" borderId="0" xfId="0" applyFont="1" applyFill="1"/>
    <xf numFmtId="0" fontId="2" fillId="7" borderId="0" xfId="0" applyFont="1" applyFill="1" applyAlignment="1">
      <alignment vertical="center"/>
    </xf>
    <xf numFmtId="0" fontId="2" fillId="7" borderId="12" xfId="0" applyFont="1" applyFill="1" applyBorder="1" applyAlignment="1">
      <alignment vertical="center"/>
    </xf>
    <xf numFmtId="0" fontId="2" fillId="20" borderId="12" xfId="0" applyFont="1" applyFill="1" applyBorder="1" applyAlignment="1">
      <alignment vertical="center"/>
    </xf>
    <xf numFmtId="0" fontId="2" fillId="20" borderId="0" xfId="0" applyFont="1" applyFill="1" applyAlignment="1">
      <alignment vertical="center"/>
    </xf>
    <xf numFmtId="0" fontId="2" fillId="20" borderId="15" xfId="0" applyFont="1" applyFill="1" applyBorder="1" applyAlignment="1">
      <alignment vertical="center"/>
    </xf>
    <xf numFmtId="0" fontId="2" fillId="20" borderId="3" xfId="0" applyFont="1" applyFill="1" applyBorder="1" applyAlignment="1">
      <alignment vertical="center"/>
    </xf>
    <xf numFmtId="0" fontId="25" fillId="20" borderId="12" xfId="0" applyFont="1" applyFill="1" applyBorder="1" applyAlignment="1">
      <alignment horizontal="center" vertical="center"/>
    </xf>
    <xf numFmtId="14" fontId="0" fillId="7" borderId="15" xfId="0" applyNumberFormat="1" applyFill="1" applyBorder="1" applyAlignment="1" applyProtection="1">
      <alignment horizontal="center" vertical="center"/>
      <protection locked="0"/>
    </xf>
    <xf numFmtId="14" fontId="0" fillId="7" borderId="12" xfId="0" applyNumberFormat="1" applyFill="1" applyBorder="1" applyAlignment="1">
      <alignment horizontal="center" vertical="center"/>
    </xf>
    <xf numFmtId="14" fontId="0" fillId="21" borderId="2" xfId="0" applyNumberFormat="1" applyFill="1" applyBorder="1" applyAlignment="1">
      <alignment horizontal="center" vertical="center"/>
    </xf>
    <xf numFmtId="14" fontId="0" fillId="21" borderId="13" xfId="0" applyNumberFormat="1" applyFill="1" applyBorder="1" applyAlignment="1">
      <alignment horizontal="center" vertical="center"/>
    </xf>
    <xf numFmtId="0" fontId="30" fillId="7" borderId="4" xfId="0" applyFont="1" applyFill="1" applyBorder="1" applyAlignment="1">
      <alignment horizontal="center" vertical="center"/>
    </xf>
    <xf numFmtId="0" fontId="39" fillId="20" borderId="12" xfId="0" applyFont="1" applyFill="1" applyBorder="1" applyAlignment="1">
      <alignment horizontal="center" vertical="center"/>
    </xf>
    <xf numFmtId="0" fontId="39" fillId="7" borderId="12" xfId="0" applyFont="1" applyFill="1" applyBorder="1" applyAlignment="1">
      <alignment horizontal="center" vertical="center"/>
    </xf>
    <xf numFmtId="0" fontId="39" fillId="7" borderId="15" xfId="0" applyFont="1" applyFill="1" applyBorder="1" applyAlignment="1">
      <alignment horizontal="center" vertical="center"/>
    </xf>
    <xf numFmtId="0" fontId="39" fillId="20" borderId="15" xfId="0" applyFont="1" applyFill="1" applyBorder="1" applyAlignment="1">
      <alignment horizontal="center" vertical="center"/>
    </xf>
    <xf numFmtId="0" fontId="32" fillId="7" borderId="4" xfId="0" applyFont="1" applyFill="1" applyBorder="1" applyAlignment="1">
      <alignment horizontal="center" vertical="center"/>
    </xf>
    <xf numFmtId="14" fontId="0" fillId="20" borderId="2" xfId="0" applyNumberFormat="1" applyFill="1" applyBorder="1" applyAlignment="1" applyProtection="1">
      <alignment horizontal="center" vertical="center"/>
      <protection locked="0"/>
    </xf>
    <xf numFmtId="0" fontId="2" fillId="22" borderId="3" xfId="0" applyFont="1" applyFill="1" applyBorder="1" applyAlignment="1">
      <alignment vertical="center"/>
    </xf>
    <xf numFmtId="0" fontId="2" fillId="22" borderId="0" xfId="0" applyFont="1" applyFill="1" applyAlignment="1">
      <alignment vertical="center"/>
    </xf>
    <xf numFmtId="0" fontId="2" fillId="0" borderId="0" xfId="0" applyFont="1" applyAlignment="1">
      <alignment vertical="top"/>
    </xf>
    <xf numFmtId="0" fontId="2" fillId="0" borderId="0" xfId="0" applyFont="1" applyAlignment="1">
      <alignment horizontal="center" vertical="center"/>
    </xf>
    <xf numFmtId="0" fontId="16" fillId="0" borderId="0" xfId="0" applyFont="1" applyAlignment="1">
      <alignment vertical="top" wrapText="1"/>
    </xf>
    <xf numFmtId="0" fontId="2" fillId="0" borderId="0" xfId="0" applyFont="1" applyAlignment="1">
      <alignment vertical="top" wrapText="1"/>
    </xf>
    <xf numFmtId="0" fontId="16" fillId="0" borderId="0" xfId="0" applyFont="1" applyAlignment="1">
      <alignment vertical="top"/>
    </xf>
    <xf numFmtId="0" fontId="35" fillId="23" borderId="10" xfId="0" applyFont="1" applyFill="1" applyBorder="1" applyAlignment="1">
      <alignment vertical="center"/>
    </xf>
    <xf numFmtId="0" fontId="9" fillId="23" borderId="11" xfId="0" applyFont="1" applyFill="1" applyBorder="1"/>
    <xf numFmtId="0" fontId="9" fillId="23" borderId="13" xfId="0" applyFont="1" applyFill="1" applyBorder="1"/>
    <xf numFmtId="0" fontId="2" fillId="23" borderId="1" xfId="0" applyFont="1" applyFill="1" applyBorder="1" applyAlignment="1">
      <alignment horizontal="center" vertical="center" wrapText="1"/>
    </xf>
    <xf numFmtId="14" fontId="0" fillId="24" borderId="2" xfId="0" applyNumberFormat="1" applyFill="1" applyBorder="1" applyAlignment="1">
      <alignment horizontal="center" vertical="center"/>
    </xf>
    <xf numFmtId="14" fontId="0" fillId="24" borderId="13" xfId="0" applyNumberFormat="1" applyFill="1" applyBorder="1" applyAlignment="1">
      <alignment horizontal="center" vertical="center"/>
    </xf>
    <xf numFmtId="0" fontId="15" fillId="0" borderId="0" xfId="0" applyFont="1" applyAlignment="1">
      <alignment vertical="center" wrapText="1"/>
    </xf>
    <xf numFmtId="0" fontId="41" fillId="4" borderId="1" xfId="0" applyFont="1" applyFill="1" applyBorder="1" applyAlignment="1" applyProtection="1">
      <alignment horizontal="center" vertical="center"/>
      <protection locked="0"/>
    </xf>
    <xf numFmtId="0" fontId="43" fillId="7" borderId="0" xfId="0" applyFont="1" applyFill="1" applyAlignment="1">
      <alignment vertical="center"/>
    </xf>
    <xf numFmtId="0" fontId="43" fillId="0" borderId="0" xfId="0" applyFont="1" applyAlignment="1">
      <alignment vertical="center"/>
    </xf>
    <xf numFmtId="0" fontId="8" fillId="7" borderId="0" xfId="0" applyFont="1" applyFill="1" applyAlignment="1" applyProtection="1">
      <alignment horizontal="center" vertical="center"/>
      <protection locked="0"/>
    </xf>
    <xf numFmtId="9" fontId="16" fillId="7" borderId="0" xfId="0" applyNumberFormat="1" applyFont="1" applyFill="1" applyAlignment="1" applyProtection="1">
      <alignment horizontal="center" vertical="center"/>
      <protection locked="0"/>
    </xf>
    <xf numFmtId="0" fontId="0" fillId="7" borderId="0" xfId="0" applyFill="1" applyAlignment="1">
      <alignment horizontal="center" vertical="center" wrapText="1"/>
    </xf>
    <xf numFmtId="1" fontId="8" fillId="7" borderId="0" xfId="0" applyNumberFormat="1" applyFont="1" applyFill="1" applyAlignment="1" applyProtection="1">
      <alignment horizontal="center" vertical="center"/>
      <protection locked="0"/>
    </xf>
    <xf numFmtId="1" fontId="8" fillId="7" borderId="0" xfId="0" applyNumberFormat="1" applyFont="1" applyFill="1" applyProtection="1">
      <protection locked="0"/>
    </xf>
    <xf numFmtId="0" fontId="8" fillId="7" borderId="0" xfId="0" applyFont="1" applyFill="1" applyAlignment="1" applyProtection="1">
      <alignment horizontal="left" vertical="center"/>
      <protection locked="0"/>
    </xf>
    <xf numFmtId="0" fontId="8" fillId="4" borderId="1" xfId="0" applyFont="1" applyFill="1" applyBorder="1" applyAlignment="1" applyProtection="1">
      <alignment horizontal="center" vertical="center" wrapText="1"/>
      <protection locked="0"/>
    </xf>
    <xf numFmtId="0" fontId="9" fillId="25" borderId="10" xfId="0" applyFont="1" applyFill="1" applyBorder="1" applyAlignment="1">
      <alignment vertical="center"/>
    </xf>
    <xf numFmtId="0" fontId="9" fillId="25" borderId="11" xfId="0" applyFont="1" applyFill="1" applyBorder="1"/>
    <xf numFmtId="0" fontId="9" fillId="25" borderId="13" xfId="0" applyFont="1" applyFill="1" applyBorder="1"/>
    <xf numFmtId="0" fontId="2" fillId="25" borderId="1" xfId="0" applyFont="1" applyFill="1" applyBorder="1" applyAlignment="1">
      <alignment horizontal="center" vertical="center" wrapText="1"/>
    </xf>
    <xf numFmtId="0" fontId="2" fillId="3" borderId="3" xfId="0" applyFont="1" applyFill="1" applyBorder="1" applyAlignment="1">
      <alignment vertical="center"/>
    </xf>
    <xf numFmtId="0" fontId="2" fillId="3" borderId="0" xfId="0" applyFont="1" applyFill="1" applyAlignment="1">
      <alignment vertical="center"/>
    </xf>
    <xf numFmtId="0" fontId="41" fillId="4" borderId="1" xfId="0" applyFont="1" applyFill="1" applyBorder="1" applyAlignment="1" applyProtection="1">
      <alignment horizontal="left" vertical="center"/>
      <protection locked="0"/>
    </xf>
    <xf numFmtId="0" fontId="25" fillId="20" borderId="14" xfId="0" applyFont="1" applyFill="1" applyBorder="1" applyAlignment="1">
      <alignment horizontal="center" vertical="center"/>
    </xf>
    <xf numFmtId="0" fontId="2" fillId="20" borderId="14" xfId="0" applyFont="1" applyFill="1" applyBorder="1" applyAlignment="1">
      <alignment vertical="center"/>
    </xf>
    <xf numFmtId="0" fontId="47" fillId="7" borderId="0" xfId="0" applyFont="1" applyFill="1" applyAlignment="1">
      <alignment vertical="center"/>
    </xf>
    <xf numFmtId="14" fontId="0" fillId="0" borderId="4" xfId="0" applyNumberFormat="1" applyBorder="1" applyAlignment="1">
      <alignment horizontal="center" vertical="center"/>
    </xf>
    <xf numFmtId="14" fontId="0" fillId="0" borderId="14" xfId="0" applyNumberFormat="1" applyBorder="1" applyAlignment="1">
      <alignment horizontal="center" vertical="center"/>
    </xf>
    <xf numFmtId="0" fontId="2" fillId="21" borderId="0" xfId="0" applyFont="1" applyFill="1" applyAlignment="1">
      <alignment horizontal="center" vertical="center"/>
    </xf>
    <xf numFmtId="0" fontId="47" fillId="7" borderId="12" xfId="0" applyFont="1" applyFill="1" applyBorder="1" applyAlignment="1">
      <alignment vertical="center"/>
    </xf>
    <xf numFmtId="0" fontId="2" fillId="24" borderId="0" xfId="0" applyFont="1" applyFill="1" applyAlignment="1">
      <alignment horizontal="center" vertical="center"/>
    </xf>
    <xf numFmtId="0" fontId="2" fillId="24" borderId="5" xfId="0" applyFont="1" applyFill="1" applyBorder="1" applyAlignment="1">
      <alignment vertical="center"/>
    </xf>
    <xf numFmtId="0" fontId="47" fillId="22" borderId="0" xfId="0" applyFont="1" applyFill="1" applyAlignment="1">
      <alignment vertical="center"/>
    </xf>
    <xf numFmtId="0" fontId="0" fillId="22" borderId="0" xfId="0" applyFill="1" applyAlignment="1">
      <alignment horizontal="center" vertical="center"/>
    </xf>
    <xf numFmtId="0" fontId="8" fillId="0" borderId="15" xfId="0" applyFont="1" applyBorder="1" applyAlignment="1" applyProtection="1">
      <alignment horizontal="center" vertical="center"/>
      <protection locked="0"/>
    </xf>
    <xf numFmtId="0" fontId="8" fillId="0" borderId="12" xfId="0" applyFont="1" applyBorder="1" applyAlignment="1">
      <alignment horizontal="center" vertical="center"/>
    </xf>
    <xf numFmtId="0" fontId="8" fillId="22" borderId="15" xfId="0" applyFont="1" applyFill="1" applyBorder="1" applyAlignment="1" applyProtection="1">
      <alignment horizontal="center" vertical="center"/>
      <protection locked="0"/>
    </xf>
    <xf numFmtId="0" fontId="8" fillId="22" borderId="12" xfId="0" applyFont="1" applyFill="1" applyBorder="1" applyAlignment="1">
      <alignment horizontal="center" vertical="center"/>
    </xf>
    <xf numFmtId="0" fontId="8" fillId="0" borderId="2" xfId="0" applyFont="1" applyBorder="1" applyAlignment="1" applyProtection="1">
      <alignment horizontal="center" vertical="center"/>
      <protection locked="0"/>
    </xf>
    <xf numFmtId="0" fontId="8" fillId="0" borderId="13" xfId="0" applyFont="1" applyBorder="1" applyAlignment="1">
      <alignment horizontal="center" vertical="center"/>
    </xf>
    <xf numFmtId="0" fontId="2" fillId="0" borderId="4" xfId="0" applyFont="1" applyBorder="1" applyAlignment="1">
      <alignment horizontal="center" vertical="center"/>
    </xf>
    <xf numFmtId="0" fontId="0" fillId="3" borderId="0" xfId="0" applyFill="1" applyAlignment="1">
      <alignment horizontal="center" vertical="center"/>
    </xf>
    <xf numFmtId="0" fontId="8" fillId="3" borderId="15" xfId="0" applyFont="1" applyFill="1" applyBorder="1" applyAlignment="1" applyProtection="1">
      <alignment horizontal="center" vertical="center"/>
      <protection locked="0"/>
    </xf>
    <xf numFmtId="0" fontId="8" fillId="3" borderId="12" xfId="0" applyFont="1" applyFill="1" applyBorder="1" applyAlignment="1">
      <alignment horizontal="center" vertical="center"/>
    </xf>
    <xf numFmtId="0" fontId="47" fillId="3" borderId="0" xfId="0" applyFont="1" applyFill="1" applyAlignment="1">
      <alignment vertical="center"/>
    </xf>
    <xf numFmtId="0" fontId="0" fillId="3" borderId="9" xfId="0" applyFill="1" applyBorder="1" applyAlignment="1">
      <alignment horizontal="center" vertical="center"/>
    </xf>
    <xf numFmtId="0" fontId="0" fillId="22" borderId="9" xfId="0" applyFill="1" applyBorder="1" applyAlignment="1">
      <alignment horizontal="center" vertical="center"/>
    </xf>
    <xf numFmtId="0" fontId="30" fillId="24" borderId="9" xfId="0" applyFont="1" applyFill="1" applyBorder="1" applyAlignment="1">
      <alignment horizontal="center" vertical="center"/>
    </xf>
    <xf numFmtId="0" fontId="0" fillId="3" borderId="13" xfId="0" applyFill="1" applyBorder="1" applyAlignment="1">
      <alignment horizontal="center" vertical="center"/>
    </xf>
    <xf numFmtId="0" fontId="9" fillId="25" borderId="0" xfId="0" applyFont="1" applyFill="1"/>
    <xf numFmtId="0" fontId="0" fillId="25" borderId="0" xfId="0" applyFill="1"/>
    <xf numFmtId="0" fontId="10" fillId="25" borderId="0" xfId="0" applyFont="1" applyFill="1"/>
    <xf numFmtId="0" fontId="9" fillId="10" borderId="0" xfId="0" applyFont="1" applyFill="1"/>
    <xf numFmtId="0" fontId="0" fillId="10" borderId="0" xfId="0" applyFill="1"/>
    <xf numFmtId="0" fontId="10" fillId="10" borderId="0" xfId="0" applyFont="1" applyFill="1"/>
    <xf numFmtId="0" fontId="0" fillId="7" borderId="0" xfId="0" applyFill="1"/>
    <xf numFmtId="0" fontId="52" fillId="20" borderId="0" xfId="0" applyFont="1" applyFill="1" applyAlignment="1">
      <alignment vertical="center"/>
    </xf>
    <xf numFmtId="0" fontId="52" fillId="7" borderId="0" xfId="0" applyFont="1" applyFill="1" applyAlignment="1">
      <alignment vertical="center"/>
    </xf>
    <xf numFmtId="0" fontId="25" fillId="7" borderId="4" xfId="0" applyFont="1" applyFill="1" applyBorder="1" applyAlignment="1">
      <alignment vertical="center"/>
    </xf>
    <xf numFmtId="0" fontId="53" fillId="20" borderId="2" xfId="0" applyFont="1" applyFill="1" applyBorder="1" applyAlignment="1" applyProtection="1">
      <alignment horizontal="center" vertical="center"/>
      <protection locked="0"/>
    </xf>
    <xf numFmtId="0" fontId="53" fillId="20" borderId="13" xfId="0" applyFont="1" applyFill="1" applyBorder="1" applyAlignment="1" applyProtection="1">
      <alignment horizontal="center" vertical="center"/>
      <protection locked="0"/>
    </xf>
    <xf numFmtId="0" fontId="53" fillId="7" borderId="12" xfId="0" applyFont="1" applyFill="1" applyBorder="1" applyAlignment="1" applyProtection="1">
      <alignment horizontal="center" vertical="center"/>
      <protection locked="0"/>
    </xf>
    <xf numFmtId="0" fontId="53" fillId="20" borderId="12" xfId="0" applyFont="1" applyFill="1" applyBorder="1" applyAlignment="1" applyProtection="1">
      <alignment horizontal="center" vertical="center"/>
      <protection locked="0"/>
    </xf>
    <xf numFmtId="0" fontId="53" fillId="7" borderId="2" xfId="0" applyFont="1" applyFill="1" applyBorder="1" applyAlignment="1" applyProtection="1">
      <alignment horizontal="center" vertical="center"/>
      <protection locked="0"/>
    </xf>
    <xf numFmtId="0" fontId="53" fillId="20" borderId="15" xfId="0" applyFont="1" applyFill="1" applyBorder="1" applyAlignment="1" applyProtection="1">
      <alignment horizontal="center" vertical="center"/>
      <protection locked="0"/>
    </xf>
    <xf numFmtId="0" fontId="53" fillId="7" borderId="15" xfId="0" applyFont="1" applyFill="1" applyBorder="1" applyAlignment="1" applyProtection="1">
      <alignment horizontal="center" vertical="center"/>
      <protection locked="0"/>
    </xf>
    <xf numFmtId="0" fontId="53" fillId="7" borderId="13" xfId="0" applyFont="1" applyFill="1" applyBorder="1" applyAlignment="1">
      <alignment horizontal="center" vertical="center"/>
    </xf>
    <xf numFmtId="0" fontId="53" fillId="24" borderId="4" xfId="0" applyFont="1" applyFill="1" applyBorder="1" applyAlignment="1" applyProtection="1">
      <alignment horizontal="center" vertical="center"/>
      <protection locked="0"/>
    </xf>
    <xf numFmtId="0" fontId="53" fillId="24" borderId="14" xfId="0" applyFont="1" applyFill="1" applyBorder="1" applyAlignment="1">
      <alignment horizontal="center" vertical="center"/>
    </xf>
    <xf numFmtId="0" fontId="53" fillId="22" borderId="1" xfId="0" applyFont="1" applyFill="1" applyBorder="1" applyAlignment="1" applyProtection="1">
      <alignment horizontal="center" vertical="center"/>
      <protection locked="0"/>
    </xf>
    <xf numFmtId="0" fontId="39" fillId="20" borderId="13" xfId="0" applyFont="1" applyFill="1" applyBorder="1" applyAlignment="1">
      <alignment horizontal="center" vertical="center"/>
    </xf>
    <xf numFmtId="0" fontId="25" fillId="7" borderId="12" xfId="0" applyFont="1" applyFill="1" applyBorder="1" applyAlignment="1">
      <alignment horizontal="center" vertical="center"/>
    </xf>
    <xf numFmtId="0" fontId="39" fillId="20" borderId="2" xfId="0" applyFont="1" applyFill="1" applyBorder="1" applyAlignment="1">
      <alignment horizontal="center" vertical="center"/>
    </xf>
    <xf numFmtId="0" fontId="30" fillId="20" borderId="16" xfId="0" applyFont="1" applyFill="1" applyBorder="1" applyAlignment="1">
      <alignment vertical="center"/>
    </xf>
    <xf numFmtId="0" fontId="2" fillId="20" borderId="17" xfId="0" applyFont="1" applyFill="1" applyBorder="1" applyAlignment="1">
      <alignment vertical="center"/>
    </xf>
    <xf numFmtId="0" fontId="25" fillId="20" borderId="16" xfId="0" applyFont="1" applyFill="1" applyBorder="1" applyAlignment="1">
      <alignment horizontal="center" vertical="center"/>
    </xf>
    <xf numFmtId="0" fontId="0" fillId="0" borderId="0" xfId="0" quotePrefix="1" applyAlignment="1">
      <alignment vertical="top"/>
    </xf>
    <xf numFmtId="0" fontId="58" fillId="6" borderId="1" xfId="0" applyFont="1" applyFill="1" applyBorder="1" applyAlignment="1" applyProtection="1">
      <alignment horizontal="center" vertical="center" wrapText="1"/>
      <protection locked="0"/>
    </xf>
    <xf numFmtId="164" fontId="0" fillId="0" borderId="5" xfId="2" applyNumberFormat="1" applyFont="1" applyBorder="1" applyAlignment="1">
      <alignment horizontal="center" vertical="center"/>
    </xf>
    <xf numFmtId="164" fontId="30" fillId="0" borderId="14" xfId="2" applyNumberFormat="1" applyFont="1" applyBorder="1" applyAlignment="1">
      <alignment horizontal="center" vertical="center"/>
    </xf>
    <xf numFmtId="164" fontId="2" fillId="0" borderId="3" xfId="2" applyNumberFormat="1" applyFont="1" applyBorder="1" applyAlignment="1">
      <alignment horizontal="center" vertical="center"/>
    </xf>
    <xf numFmtId="164" fontId="2" fillId="0" borderId="1" xfId="2" applyNumberFormat="1" applyFont="1" applyBorder="1" applyAlignment="1">
      <alignment horizontal="center" vertical="center"/>
    </xf>
    <xf numFmtId="164" fontId="30" fillId="0" borderId="12" xfId="2" applyNumberFormat="1" applyFont="1" applyBorder="1" applyAlignment="1">
      <alignment horizontal="center" vertical="center"/>
    </xf>
    <xf numFmtId="164" fontId="2" fillId="0" borderId="5" xfId="2" applyNumberFormat="1" applyFont="1" applyBorder="1" applyAlignment="1">
      <alignment horizontal="center" vertical="center"/>
    </xf>
    <xf numFmtId="164" fontId="30" fillId="0" borderId="5" xfId="2" applyNumberFormat="1" applyFont="1" applyBorder="1" applyAlignment="1">
      <alignment horizontal="center" vertical="center"/>
    </xf>
    <xf numFmtId="0" fontId="42" fillId="7" borderId="14" xfId="0" applyFont="1" applyFill="1" applyBorder="1" applyAlignment="1">
      <alignment horizontal="center" vertical="center"/>
    </xf>
    <xf numFmtId="0" fontId="42" fillId="20" borderId="9" xfId="0" applyFont="1" applyFill="1" applyBorder="1" applyAlignment="1">
      <alignment horizontal="center" vertical="center"/>
    </xf>
    <xf numFmtId="0" fontId="47" fillId="7" borderId="14" xfId="0" applyFont="1" applyFill="1" applyBorder="1" applyAlignment="1">
      <alignment horizontal="center" vertical="center"/>
    </xf>
    <xf numFmtId="0" fontId="60" fillId="0" borderId="0" xfId="0" applyFont="1"/>
    <xf numFmtId="0" fontId="2" fillId="0" borderId="0" xfId="0" applyFont="1"/>
    <xf numFmtId="0" fontId="4" fillId="0" borderId="0" xfId="0" applyFont="1"/>
    <xf numFmtId="0" fontId="20" fillId="0" borderId="0" xfId="0" applyFont="1" applyProtection="1">
      <protection locked="0"/>
    </xf>
    <xf numFmtId="0" fontId="20" fillId="0" borderId="0" xfId="0" applyFont="1" applyAlignment="1">
      <alignment vertical="center"/>
    </xf>
    <xf numFmtId="0" fontId="62" fillId="0" borderId="0" xfId="0" applyFont="1"/>
    <xf numFmtId="0" fontId="53" fillId="20" borderId="11" xfId="0" applyFont="1" applyFill="1" applyBorder="1" applyAlignment="1">
      <alignment horizontal="right" vertical="center"/>
    </xf>
    <xf numFmtId="0" fontId="53" fillId="7" borderId="12" xfId="0" applyFont="1" applyFill="1" applyBorder="1" applyAlignment="1">
      <alignment horizontal="right" vertical="center"/>
    </xf>
    <xf numFmtId="0" fontId="0" fillId="0" borderId="0" xfId="0" applyAlignment="1" applyProtection="1">
      <alignment vertical="top"/>
      <protection locked="0"/>
    </xf>
    <xf numFmtId="0" fontId="0" fillId="0" borderId="0" xfId="0" applyProtection="1">
      <protection locked="0"/>
    </xf>
    <xf numFmtId="0" fontId="0" fillId="0" borderId="0" xfId="0" applyAlignment="1" applyProtection="1">
      <alignment vertical="center"/>
      <protection locked="0"/>
    </xf>
    <xf numFmtId="0" fontId="0" fillId="0" borderId="0" xfId="0" applyAlignment="1">
      <alignment wrapText="1"/>
    </xf>
    <xf numFmtId="0" fontId="62" fillId="0" borderId="0" xfId="0" applyFont="1" applyAlignment="1">
      <alignment horizontal="center" vertical="center"/>
    </xf>
    <xf numFmtId="0" fontId="3" fillId="0" borderId="0" xfId="0" applyFont="1" applyAlignment="1">
      <alignment horizontal="center" vertical="center"/>
    </xf>
    <xf numFmtId="0" fontId="45" fillId="0" borderId="0" xfId="0" applyFont="1" applyAlignment="1">
      <alignment vertical="center"/>
    </xf>
    <xf numFmtId="0" fontId="62" fillId="7" borderId="0" xfId="0" applyFont="1" applyFill="1" applyAlignment="1">
      <alignment horizontal="center" vertical="center"/>
    </xf>
    <xf numFmtId="0" fontId="16" fillId="0" borderId="0" xfId="0" applyFont="1" applyAlignment="1">
      <alignment horizontal="center" vertical="center"/>
    </xf>
    <xf numFmtId="0" fontId="3" fillId="7" borderId="0" xfId="0" applyFont="1" applyFill="1" applyAlignment="1">
      <alignment horizontal="center" vertical="center"/>
    </xf>
    <xf numFmtId="0" fontId="64" fillId="0" borderId="0" xfId="0" applyFont="1" applyAlignment="1">
      <alignment vertical="center"/>
    </xf>
    <xf numFmtId="0" fontId="3" fillId="0" borderId="0" xfId="0" applyFont="1" applyAlignment="1">
      <alignment horizontal="right"/>
    </xf>
    <xf numFmtId="0" fontId="64" fillId="0" borderId="0" xfId="0" applyFont="1" applyAlignment="1">
      <alignment horizontal="center" vertical="center"/>
    </xf>
    <xf numFmtId="10" fontId="16" fillId="0" borderId="3" xfId="2" applyNumberFormat="1" applyFont="1" applyFill="1" applyBorder="1" applyAlignment="1">
      <alignment horizontal="center" vertical="center"/>
    </xf>
    <xf numFmtId="0" fontId="8" fillId="7" borderId="0" xfId="0" applyFont="1" applyFill="1" applyAlignment="1">
      <alignment horizontal="center" vertical="center"/>
    </xf>
    <xf numFmtId="10" fontId="16" fillId="0" borderId="0" xfId="2" applyNumberFormat="1" applyFont="1" applyFill="1" applyBorder="1" applyAlignment="1">
      <alignment horizontal="center" vertical="center"/>
    </xf>
    <xf numFmtId="0" fontId="52" fillId="20" borderId="4" xfId="0" applyFont="1" applyFill="1" applyBorder="1" applyAlignment="1">
      <alignment vertical="center"/>
    </xf>
    <xf numFmtId="0" fontId="67" fillId="0" borderId="0" xfId="0" applyFont="1"/>
    <xf numFmtId="0" fontId="46" fillId="0" borderId="0" xfId="1" applyFont="1" applyAlignment="1">
      <alignment wrapText="1"/>
    </xf>
    <xf numFmtId="0" fontId="46" fillId="0" borderId="0" xfId="1" applyFont="1" applyAlignment="1" applyProtection="1">
      <alignment wrapText="1"/>
      <protection locked="0"/>
    </xf>
    <xf numFmtId="0" fontId="53" fillId="7" borderId="4" xfId="0" applyFont="1" applyFill="1" applyBorder="1" applyAlignment="1" applyProtection="1">
      <alignment horizontal="center" vertical="center"/>
      <protection locked="0"/>
    </xf>
    <xf numFmtId="0" fontId="53" fillId="7" borderId="14" xfId="0" applyFont="1" applyFill="1" applyBorder="1" applyAlignment="1">
      <alignment horizontal="center" vertical="center"/>
    </xf>
    <xf numFmtId="0" fontId="2" fillId="7" borderId="5" xfId="0" applyFont="1" applyFill="1" applyBorder="1" applyAlignment="1">
      <alignment vertical="center"/>
    </xf>
    <xf numFmtId="0" fontId="2" fillId="21" borderId="3" xfId="0" applyFont="1" applyFill="1" applyBorder="1" applyAlignment="1">
      <alignment vertical="center"/>
    </xf>
    <xf numFmtId="0" fontId="53" fillId="21" borderId="2" xfId="0" applyFont="1" applyFill="1" applyBorder="1" applyAlignment="1" applyProtection="1">
      <alignment horizontal="center" vertical="center"/>
      <protection locked="0"/>
    </xf>
    <xf numFmtId="0" fontId="53" fillId="21" borderId="13" xfId="0" applyFont="1" applyFill="1" applyBorder="1" applyAlignment="1">
      <alignment horizontal="center" vertical="center"/>
    </xf>
    <xf numFmtId="0" fontId="0" fillId="0" borderId="0" xfId="0" applyAlignment="1">
      <alignment horizontal="left"/>
    </xf>
    <xf numFmtId="0" fontId="2" fillId="0" borderId="0" xfId="0" applyFont="1" applyAlignment="1">
      <alignment horizontal="center"/>
    </xf>
    <xf numFmtId="0" fontId="2" fillId="0" borderId="0" xfId="0" applyFont="1" applyAlignment="1">
      <alignment wrapText="1"/>
    </xf>
    <xf numFmtId="0" fontId="6" fillId="0" borderId="0" xfId="1" quotePrefix="1" applyFill="1" applyBorder="1"/>
    <xf numFmtId="0" fontId="45" fillId="0" borderId="0" xfId="0" applyFont="1" applyAlignment="1">
      <alignment horizontal="left" vertical="center"/>
    </xf>
    <xf numFmtId="0" fontId="20" fillId="0" borderId="0" xfId="0" applyFont="1" applyAlignment="1">
      <alignment horizontal="center" vertical="center"/>
    </xf>
    <xf numFmtId="0" fontId="30" fillId="3" borderId="4" xfId="0" applyFont="1" applyFill="1" applyBorder="1" applyAlignment="1">
      <alignment horizontal="center" vertical="center"/>
    </xf>
    <xf numFmtId="0" fontId="53" fillId="7" borderId="1" xfId="0" applyFont="1" applyFill="1" applyBorder="1" applyAlignment="1" applyProtection="1">
      <alignment horizontal="center" vertical="center"/>
      <protection locked="0"/>
    </xf>
    <xf numFmtId="0" fontId="30" fillId="0" borderId="1" xfId="0" applyFont="1" applyBorder="1" applyAlignment="1">
      <alignment horizontal="center" vertical="center"/>
    </xf>
    <xf numFmtId="0" fontId="55" fillId="0" borderId="0" xfId="0" applyFont="1" applyAlignment="1">
      <alignment horizontal="center" vertical="center"/>
    </xf>
    <xf numFmtId="0" fontId="3" fillId="0" borderId="0" xfId="0" applyFont="1" applyAlignment="1">
      <alignment vertical="top"/>
    </xf>
    <xf numFmtId="0" fontId="64" fillId="0" borderId="0" xfId="0" applyFont="1" applyAlignment="1">
      <alignment wrapText="1"/>
    </xf>
    <xf numFmtId="0" fontId="64" fillId="0" borderId="0" xfId="0" applyFont="1" applyAlignment="1">
      <alignment horizontal="center" vertical="center" wrapText="1"/>
    </xf>
    <xf numFmtId="0" fontId="55" fillId="0" borderId="0" xfId="0" applyFont="1" applyAlignment="1">
      <alignment horizontal="center" vertical="center" wrapText="1"/>
    </xf>
    <xf numFmtId="0" fontId="16" fillId="0" borderId="0" xfId="0" applyFont="1" applyAlignment="1">
      <alignment horizontal="center" vertical="center" wrapText="1"/>
    </xf>
    <xf numFmtId="0" fontId="55" fillId="7" borderId="0" xfId="0" applyFont="1" applyFill="1" applyAlignment="1">
      <alignment horizontal="center" vertical="center"/>
    </xf>
    <xf numFmtId="0" fontId="3" fillId="0" borderId="0" xfId="0" applyFont="1" applyAlignment="1">
      <alignment horizontal="center" vertical="center" wrapText="1"/>
    </xf>
    <xf numFmtId="164" fontId="0" fillId="0" borderId="18" xfId="2" applyNumberFormat="1" applyFont="1" applyBorder="1" applyAlignment="1">
      <alignment horizontal="center" vertical="center"/>
    </xf>
    <xf numFmtId="0" fontId="0" fillId="0" borderId="0" xfId="0" applyAlignment="1">
      <alignment horizontal="left" vertical="center"/>
    </xf>
    <xf numFmtId="0" fontId="0" fillId="0" borderId="0" xfId="0" quotePrefix="1" applyAlignment="1">
      <alignment horizontal="center" vertical="center"/>
    </xf>
    <xf numFmtId="0" fontId="0" fillId="0" borderId="0" xfId="0" quotePrefix="1" applyAlignment="1">
      <alignment horizontal="center" vertical="top"/>
    </xf>
    <xf numFmtId="1" fontId="8" fillId="4" borderId="1" xfId="0" applyNumberFormat="1" applyFont="1" applyFill="1" applyBorder="1" applyAlignment="1" applyProtection="1">
      <alignment horizontal="center" vertical="center" wrapText="1"/>
      <protection locked="0"/>
    </xf>
    <xf numFmtId="0" fontId="5" fillId="0" borderId="0" xfId="0" applyFont="1" applyAlignment="1">
      <alignment vertical="center" wrapText="1"/>
    </xf>
    <xf numFmtId="0" fontId="0" fillId="0" borderId="0" xfId="0" applyAlignment="1">
      <alignment vertical="center" wrapText="1"/>
    </xf>
    <xf numFmtId="1" fontId="68" fillId="4" borderId="1" xfId="0" applyNumberFormat="1" applyFont="1" applyFill="1" applyBorder="1" applyAlignment="1" applyProtection="1">
      <alignment horizontal="center" vertical="center" wrapText="1"/>
      <protection locked="0"/>
    </xf>
    <xf numFmtId="0" fontId="41" fillId="0" borderId="0" xfId="0" applyFont="1" applyAlignment="1">
      <alignment horizontal="center"/>
    </xf>
    <xf numFmtId="0" fontId="69" fillId="0" borderId="0" xfId="0" applyFont="1" applyAlignment="1">
      <alignment vertical="top"/>
    </xf>
    <xf numFmtId="14" fontId="8" fillId="4" borderId="4" xfId="0" applyNumberFormat="1" applyFont="1" applyFill="1" applyBorder="1" applyAlignment="1" applyProtection="1">
      <alignment horizontal="left" vertical="center"/>
      <protection locked="0"/>
    </xf>
    <xf numFmtId="0" fontId="4" fillId="0" borderId="0" xfId="0" applyFont="1" applyAlignment="1">
      <alignment horizontal="center"/>
    </xf>
    <xf numFmtId="0" fontId="2" fillId="0" borderId="0" xfId="0" applyFont="1" applyAlignment="1">
      <alignment vertical="center" wrapText="1"/>
    </xf>
    <xf numFmtId="0" fontId="0" fillId="0" borderId="0" xfId="0" applyAlignment="1" applyProtection="1">
      <alignment vertical="top" wrapText="1"/>
      <protection locked="0"/>
    </xf>
    <xf numFmtId="0" fontId="45" fillId="0" borderId="0" xfId="0" applyFont="1" applyAlignment="1">
      <alignment horizontal="left"/>
    </xf>
    <xf numFmtId="0" fontId="30" fillId="0" borderId="0" xfId="0" applyFont="1" applyAlignment="1" applyProtection="1">
      <alignment vertical="center"/>
      <protection locked="0"/>
    </xf>
    <xf numFmtId="0" fontId="2" fillId="0" borderId="0" xfId="0" applyFont="1" applyAlignment="1">
      <alignment vertical="center"/>
    </xf>
    <xf numFmtId="0" fontId="32" fillId="0" borderId="0" xfId="0" applyFont="1" applyAlignment="1">
      <alignment vertical="center" wrapText="1"/>
    </xf>
    <xf numFmtId="0" fontId="2" fillId="7" borderId="0" xfId="0" applyFont="1" applyFill="1" applyAlignment="1">
      <alignment horizontal="center" vertical="center" wrapText="1"/>
    </xf>
    <xf numFmtId="0" fontId="41" fillId="3" borderId="1" xfId="0" applyFont="1" applyFill="1" applyBorder="1" applyAlignment="1">
      <alignment horizontal="left" vertical="center"/>
    </xf>
    <xf numFmtId="0" fontId="41" fillId="3" borderId="1" xfId="0" applyFont="1" applyFill="1" applyBorder="1" applyAlignment="1">
      <alignment horizontal="center" vertical="center"/>
    </xf>
    <xf numFmtId="0" fontId="26" fillId="0" borderId="0" xfId="0" applyFont="1" applyAlignment="1">
      <alignment vertical="center" wrapText="1"/>
    </xf>
    <xf numFmtId="0" fontId="72" fillId="0" borderId="0" xfId="0" applyFont="1" applyAlignment="1">
      <alignment vertical="center" wrapText="1"/>
    </xf>
    <xf numFmtId="0" fontId="26" fillId="0" borderId="0" xfId="0" applyFont="1" applyAlignment="1" applyProtection="1">
      <alignment horizontal="center" vertical="center" wrapText="1"/>
      <protection locked="0"/>
    </xf>
    <xf numFmtId="0" fontId="41" fillId="4" borderId="1" xfId="0" applyFont="1" applyFill="1" applyBorder="1" applyAlignment="1" applyProtection="1">
      <alignment horizontal="center" vertical="center" wrapText="1"/>
      <protection locked="0"/>
    </xf>
    <xf numFmtId="0" fontId="8" fillId="20" borderId="13" xfId="0" applyFont="1" applyFill="1" applyBorder="1" applyAlignment="1">
      <alignment horizontal="center" vertical="center"/>
    </xf>
    <xf numFmtId="0" fontId="8" fillId="7" borderId="12" xfId="0" applyFont="1" applyFill="1" applyBorder="1" applyAlignment="1">
      <alignment horizontal="center" vertical="center"/>
    </xf>
    <xf numFmtId="0" fontId="8" fillId="20" borderId="12" xfId="0" applyFont="1" applyFill="1" applyBorder="1" applyAlignment="1">
      <alignment horizontal="center" vertical="center"/>
    </xf>
    <xf numFmtId="0" fontId="8" fillId="20" borderId="2" xfId="0" applyFont="1" applyFill="1" applyBorder="1" applyAlignment="1">
      <alignment horizontal="center" vertical="center"/>
    </xf>
    <xf numFmtId="0" fontId="8" fillId="7" borderId="15" xfId="0" applyFont="1" applyFill="1" applyBorder="1" applyAlignment="1">
      <alignment horizontal="center" vertical="center"/>
    </xf>
    <xf numFmtId="0" fontId="8" fillId="20" borderId="15" xfId="0" applyFont="1" applyFill="1" applyBorder="1" applyAlignment="1">
      <alignment horizontal="center" vertical="center"/>
    </xf>
    <xf numFmtId="0" fontId="8" fillId="7" borderId="2" xfId="0" applyFont="1" applyFill="1" applyBorder="1" applyAlignment="1">
      <alignment horizontal="center" vertical="center"/>
    </xf>
    <xf numFmtId="0" fontId="8" fillId="21" borderId="2" xfId="0" applyFont="1" applyFill="1" applyBorder="1" applyAlignment="1">
      <alignment horizontal="center" vertical="center"/>
    </xf>
    <xf numFmtId="0" fontId="8" fillId="7" borderId="4" xfId="0" applyFont="1" applyFill="1" applyBorder="1" applyAlignment="1">
      <alignment horizontal="center" vertical="center"/>
    </xf>
    <xf numFmtId="0" fontId="8" fillId="24" borderId="4" xfId="0" applyFont="1" applyFill="1" applyBorder="1" applyAlignment="1">
      <alignment horizontal="center" vertical="center"/>
    </xf>
    <xf numFmtId="0" fontId="64" fillId="7" borderId="0" xfId="0" applyFont="1" applyFill="1" applyAlignment="1">
      <alignment horizontal="center" vertical="center"/>
    </xf>
    <xf numFmtId="0" fontId="68" fillId="4" borderId="1" xfId="0" applyFont="1" applyFill="1" applyBorder="1" applyAlignment="1" applyProtection="1">
      <alignment horizontal="center" vertical="center" wrapText="1"/>
      <protection locked="0"/>
    </xf>
    <xf numFmtId="0" fontId="41" fillId="0" borderId="0" xfId="0" applyFont="1" applyAlignment="1">
      <alignment horizontal="center" vertical="center" wrapText="1"/>
    </xf>
    <xf numFmtId="0" fontId="2" fillId="0" borderId="0" xfId="0" applyFont="1" applyAlignment="1">
      <alignment horizontal="center" vertical="center" wrapText="1"/>
    </xf>
    <xf numFmtId="0" fontId="2" fillId="15" borderId="15" xfId="0" applyFont="1" applyFill="1" applyBorder="1" applyAlignment="1">
      <alignment horizontal="center" vertical="center" wrapText="1"/>
    </xf>
    <xf numFmtId="0" fontId="53" fillId="0" borderId="1" xfId="0" applyFont="1" applyBorder="1" applyAlignment="1" applyProtection="1">
      <alignment horizontal="center" vertical="center"/>
      <protection locked="0"/>
    </xf>
    <xf numFmtId="0" fontId="8" fillId="0" borderId="0" xfId="0" applyFont="1" applyAlignment="1">
      <alignment vertical="top" wrapText="1"/>
    </xf>
    <xf numFmtId="0" fontId="70" fillId="0" borderId="0" xfId="0" applyFont="1"/>
    <xf numFmtId="0" fontId="32" fillId="0" borderId="0" xfId="0" applyFont="1" applyAlignment="1">
      <alignment horizontal="left"/>
    </xf>
    <xf numFmtId="0" fontId="53" fillId="0" borderId="0" xfId="0" applyFont="1" applyAlignment="1">
      <alignment horizontal="center" vertical="center"/>
    </xf>
    <xf numFmtId="0" fontId="47" fillId="0" borderId="0" xfId="0" applyFont="1" applyAlignment="1">
      <alignment vertical="center"/>
    </xf>
    <xf numFmtId="0" fontId="8" fillId="0" borderId="0" xfId="0" applyFont="1" applyAlignment="1">
      <alignment horizontal="center" vertical="center"/>
    </xf>
    <xf numFmtId="0" fontId="25" fillId="0" borderId="0" xfId="0" applyFont="1" applyAlignment="1">
      <alignment horizontal="left"/>
    </xf>
    <xf numFmtId="0" fontId="8" fillId="0" borderId="0" xfId="0" applyFont="1" applyAlignment="1" applyProtection="1">
      <alignment vertical="top" wrapText="1"/>
      <protection locked="0"/>
    </xf>
    <xf numFmtId="0" fontId="16" fillId="0" borderId="0" xfId="0" applyFont="1"/>
    <xf numFmtId="0" fontId="3" fillId="7" borderId="0" xfId="0" applyFont="1" applyFill="1" applyAlignment="1">
      <alignment horizontal="center" vertical="center" wrapText="1"/>
    </xf>
    <xf numFmtId="0" fontId="3" fillId="0" borderId="0" xfId="0" applyFont="1" applyAlignment="1">
      <alignment vertical="top" wrapText="1"/>
    </xf>
    <xf numFmtId="0" fontId="0" fillId="0" borderId="0" xfId="0" quotePrefix="1" applyAlignment="1">
      <alignment horizontal="center" vertical="top" wrapText="1"/>
    </xf>
    <xf numFmtId="0" fontId="55" fillId="0" borderId="0" xfId="0" applyFont="1" applyAlignment="1">
      <alignment vertical="center"/>
    </xf>
    <xf numFmtId="0" fontId="3" fillId="0" borderId="0" xfId="0" applyFont="1" applyAlignment="1">
      <alignment vertical="center"/>
    </xf>
    <xf numFmtId="1" fontId="41" fillId="0" borderId="0" xfId="0" applyNumberFormat="1" applyFont="1" applyAlignment="1">
      <alignment horizontal="center" vertical="top"/>
    </xf>
    <xf numFmtId="0" fontId="41" fillId="0" borderId="0" xfId="0" applyFont="1" applyAlignment="1">
      <alignment horizontal="center" vertical="top"/>
    </xf>
    <xf numFmtId="0" fontId="69" fillId="0" borderId="0" xfId="0" applyFont="1" applyAlignment="1">
      <alignment horizontal="left" vertical="top"/>
    </xf>
    <xf numFmtId="0" fontId="3" fillId="7" borderId="0" xfId="0" applyFont="1" applyFill="1"/>
    <xf numFmtId="0" fontId="77" fillId="0" borderId="0" xfId="0" applyFont="1" applyAlignment="1" applyProtection="1">
      <alignment horizontal="center" vertical="center" wrapText="1"/>
      <protection locked="0"/>
    </xf>
    <xf numFmtId="0" fontId="32" fillId="7" borderId="14" xfId="0" applyFont="1" applyFill="1" applyBorder="1" applyAlignment="1">
      <alignment vertical="center"/>
    </xf>
    <xf numFmtId="14" fontId="4" fillId="21" borderId="2" xfId="0" applyNumberFormat="1" applyFont="1" applyFill="1" applyBorder="1" applyAlignment="1">
      <alignment horizontal="center" vertical="center"/>
    </xf>
    <xf numFmtId="14" fontId="4" fillId="0" borderId="4" xfId="0" applyNumberFormat="1" applyFont="1" applyBorder="1" applyAlignment="1">
      <alignment horizontal="center" vertical="center"/>
    </xf>
    <xf numFmtId="14" fontId="53" fillId="20" borderId="2" xfId="0" applyNumberFormat="1" applyFont="1" applyFill="1" applyBorder="1" applyAlignment="1" applyProtection="1">
      <alignment horizontal="center" vertical="center"/>
      <protection locked="0"/>
    </xf>
    <xf numFmtId="14" fontId="53" fillId="7" borderId="15" xfId="0" applyNumberFormat="1" applyFont="1" applyFill="1" applyBorder="1" applyAlignment="1" applyProtection="1">
      <alignment horizontal="center" vertical="center"/>
      <protection locked="0"/>
    </xf>
    <xf numFmtId="0" fontId="52" fillId="20" borderId="4" xfId="0" applyFont="1" applyFill="1" applyBorder="1" applyAlignment="1" applyProtection="1">
      <alignment horizontal="center" vertical="center"/>
      <protection locked="0"/>
    </xf>
    <xf numFmtId="0" fontId="52" fillId="20" borderId="14" xfId="0" applyFont="1" applyFill="1" applyBorder="1" applyAlignment="1" applyProtection="1">
      <alignment horizontal="center" vertical="center"/>
      <protection locked="0"/>
    </xf>
    <xf numFmtId="0" fontId="64" fillId="0" borderId="0" xfId="0" applyFont="1" applyAlignment="1">
      <alignment horizontal="center" wrapText="1"/>
    </xf>
    <xf numFmtId="0" fontId="64" fillId="0" borderId="0" xfId="0" applyFont="1" applyAlignment="1">
      <alignment horizontal="center"/>
    </xf>
    <xf numFmtId="0" fontId="52" fillId="20" borderId="14" xfId="0" applyFont="1" applyFill="1" applyBorder="1" applyAlignment="1">
      <alignment horizontal="center" vertical="center"/>
    </xf>
    <xf numFmtId="0" fontId="64" fillId="0" borderId="0" xfId="0" applyFont="1"/>
    <xf numFmtId="0" fontId="78" fillId="0" borderId="0" xfId="0" applyFont="1"/>
    <xf numFmtId="0" fontId="3" fillId="0" borderId="0" xfId="0" applyFont="1" applyAlignment="1">
      <alignment horizontal="center"/>
    </xf>
    <xf numFmtId="0" fontId="77" fillId="0" borderId="0" xfId="0" applyFont="1"/>
    <xf numFmtId="1" fontId="53" fillId="7" borderId="0" xfId="0" applyNumberFormat="1" applyFont="1" applyFill="1" applyAlignment="1" applyProtection="1">
      <alignment horizontal="center" vertical="center"/>
      <protection locked="0"/>
    </xf>
    <xf numFmtId="0" fontId="20" fillId="0" borderId="0" xfId="0" applyFont="1" applyAlignment="1">
      <alignment wrapText="1"/>
    </xf>
    <xf numFmtId="0" fontId="45" fillId="0" borderId="0" xfId="0" applyFont="1"/>
    <xf numFmtId="0" fontId="46" fillId="0" borderId="0" xfId="1" applyFont="1" applyAlignment="1">
      <alignment vertical="center" wrapText="1"/>
    </xf>
    <xf numFmtId="0" fontId="32" fillId="0" borderId="0" xfId="0" applyFont="1" applyAlignment="1">
      <alignment vertical="center"/>
    </xf>
    <xf numFmtId="0" fontId="0" fillId="0" borderId="0" xfId="0" applyAlignment="1">
      <alignment vertical="top" wrapText="1"/>
    </xf>
    <xf numFmtId="0" fontId="2" fillId="21" borderId="9" xfId="0" applyFont="1" applyFill="1" applyBorder="1" applyAlignment="1">
      <alignment horizontal="center" vertical="center"/>
    </xf>
    <xf numFmtId="0" fontId="32" fillId="0" borderId="0" xfId="0" applyFont="1" applyAlignment="1">
      <alignment vertical="top"/>
    </xf>
    <xf numFmtId="0" fontId="32" fillId="0" borderId="0" xfId="0" applyFont="1"/>
    <xf numFmtId="0" fontId="45" fillId="0" borderId="0" xfId="0" applyFont="1" applyAlignment="1">
      <alignment vertical="top"/>
    </xf>
    <xf numFmtId="164" fontId="30" fillId="0" borderId="2" xfId="2" applyNumberFormat="1" applyFont="1" applyBorder="1" applyAlignment="1">
      <alignment horizontal="center" vertical="center"/>
    </xf>
    <xf numFmtId="0" fontId="20" fillId="0" borderId="0" xfId="0" applyFont="1" applyAlignment="1">
      <alignment vertical="center" wrapText="1"/>
    </xf>
    <xf numFmtId="0" fontId="20" fillId="0" borderId="0" xfId="0" applyFont="1" applyAlignment="1">
      <alignment horizontal="left" vertical="center"/>
    </xf>
    <xf numFmtId="0" fontId="6" fillId="0" borderId="0" xfId="1" applyAlignment="1">
      <alignment horizontal="left" vertical="center"/>
    </xf>
    <xf numFmtId="0" fontId="25" fillId="7" borderId="0" xfId="0" applyFont="1" applyFill="1" applyAlignment="1">
      <alignment vertical="center"/>
    </xf>
    <xf numFmtId="0" fontId="80" fillId="0" borderId="0" xfId="0" applyFont="1" applyAlignment="1">
      <alignment horizontal="center" vertical="top"/>
    </xf>
    <xf numFmtId="0" fontId="8" fillId="0" borderId="0" xfId="0" applyFont="1" applyAlignment="1">
      <alignment vertical="top"/>
    </xf>
    <xf numFmtId="0" fontId="44" fillId="0" borderId="0" xfId="0" applyFont="1" applyAlignment="1">
      <alignment vertical="top"/>
    </xf>
    <xf numFmtId="0" fontId="81" fillId="0" borderId="0" xfId="0" applyFont="1"/>
    <xf numFmtId="0" fontId="3" fillId="0" borderId="0" xfId="0" applyFont="1" applyAlignment="1">
      <alignment horizontal="center" vertical="top"/>
    </xf>
    <xf numFmtId="0" fontId="4" fillId="0" borderId="0" xfId="0" applyFont="1" applyAlignment="1">
      <alignment horizontal="left" vertical="center"/>
    </xf>
    <xf numFmtId="0" fontId="3" fillId="0" borderId="0" xfId="0" applyFont="1" applyAlignment="1" applyProtection="1">
      <alignment horizontal="center" vertical="center"/>
      <protection locked="0"/>
    </xf>
    <xf numFmtId="0" fontId="62" fillId="0" borderId="0" xfId="0" applyFont="1" applyAlignment="1">
      <alignment horizontal="center" vertical="center" wrapText="1"/>
    </xf>
    <xf numFmtId="0" fontId="64" fillId="0" borderId="0" xfId="0" applyFont="1" applyAlignment="1">
      <alignment vertical="center" wrapText="1"/>
    </xf>
    <xf numFmtId="0" fontId="80" fillId="0" borderId="0" xfId="0" applyFont="1" applyAlignment="1">
      <alignment vertical="top"/>
    </xf>
    <xf numFmtId="0" fontId="41" fillId="7" borderId="0" xfId="0" applyFont="1" applyFill="1" applyAlignment="1">
      <alignment horizontal="center" vertical="center" wrapText="1"/>
    </xf>
    <xf numFmtId="1" fontId="0" fillId="0" borderId="0" xfId="0" quotePrefix="1" applyNumberFormat="1" applyAlignment="1">
      <alignment horizontal="center" vertical="center"/>
    </xf>
    <xf numFmtId="0" fontId="0" fillId="0" borderId="0" xfId="0" quotePrefix="1" applyAlignment="1">
      <alignment horizontal="center" vertical="center" wrapText="1"/>
    </xf>
    <xf numFmtId="0" fontId="83" fillId="0" borderId="0" xfId="0" applyFont="1" applyAlignment="1">
      <alignment horizontal="center" vertical="center"/>
    </xf>
    <xf numFmtId="0" fontId="46" fillId="0" borderId="0" xfId="1" applyFont="1" applyAlignment="1" applyProtection="1">
      <alignment vertical="center" wrapText="1"/>
    </xf>
    <xf numFmtId="0" fontId="64" fillId="7" borderId="0" xfId="1" applyFont="1" applyFill="1" applyAlignment="1" applyProtection="1">
      <alignment vertical="center" wrapText="1"/>
    </xf>
    <xf numFmtId="0" fontId="46" fillId="0" borderId="0" xfId="1" applyFont="1" applyAlignment="1" applyProtection="1">
      <alignment wrapText="1"/>
    </xf>
    <xf numFmtId="0" fontId="38" fillId="0" borderId="0" xfId="0" applyFont="1" applyAlignment="1">
      <alignment wrapText="1"/>
    </xf>
    <xf numFmtId="0" fontId="40" fillId="0" borderId="0" xfId="0" applyFont="1" applyAlignment="1">
      <alignment wrapText="1"/>
    </xf>
    <xf numFmtId="0" fontId="30" fillId="0" borderId="0" xfId="0" applyFont="1" applyAlignment="1">
      <alignment horizontal="center" vertical="center"/>
    </xf>
    <xf numFmtId="0" fontId="40" fillId="0" borderId="0" xfId="0" applyFont="1"/>
    <xf numFmtId="0" fontId="30" fillId="0" borderId="0" xfId="0" applyFont="1" applyAlignment="1">
      <alignment vertical="center"/>
    </xf>
    <xf numFmtId="0" fontId="68" fillId="0" borderId="0" xfId="0" applyFont="1" applyAlignment="1">
      <alignment vertical="top"/>
    </xf>
    <xf numFmtId="0" fontId="8" fillId="0" borderId="0" xfId="0" applyFont="1" applyAlignment="1">
      <alignment horizontal="left" vertical="top" wrapText="1"/>
    </xf>
    <xf numFmtId="0" fontId="0" fillId="20" borderId="0" xfId="0" applyFill="1"/>
    <xf numFmtId="0" fontId="0" fillId="20" borderId="9" xfId="0" applyFill="1" applyBorder="1"/>
    <xf numFmtId="0" fontId="0" fillId="20" borderId="1" xfId="0" applyFill="1" applyBorder="1"/>
    <xf numFmtId="0" fontId="0" fillId="20" borderId="7" xfId="0" applyFill="1" applyBorder="1"/>
    <xf numFmtId="0" fontId="3" fillId="0" borderId="0" xfId="0" applyFont="1" applyAlignment="1" applyProtection="1">
      <alignment horizontal="center" vertical="center" wrapText="1"/>
      <protection locked="0"/>
    </xf>
    <xf numFmtId="0" fontId="21" fillId="27" borderId="0" xfId="0" applyFont="1" applyFill="1" applyAlignment="1">
      <alignment vertical="center"/>
    </xf>
    <xf numFmtId="0" fontId="29" fillId="27" borderId="0" xfId="0" applyFont="1" applyFill="1" applyAlignment="1">
      <alignment vertical="center"/>
    </xf>
    <xf numFmtId="0" fontId="0" fillId="27" borderId="0" xfId="0" applyFill="1" applyAlignment="1">
      <alignment vertical="center"/>
    </xf>
    <xf numFmtId="1" fontId="41" fillId="0" borderId="0" xfId="0" applyNumberFormat="1" applyFont="1" applyAlignment="1">
      <alignment horizontal="center" vertical="center"/>
    </xf>
    <xf numFmtId="0" fontId="8" fillId="4" borderId="1" xfId="0" applyFont="1" applyFill="1" applyBorder="1" applyAlignment="1" applyProtection="1">
      <alignment horizontal="center" vertical="center"/>
      <protection locked="0"/>
    </xf>
    <xf numFmtId="0" fontId="9" fillId="27" borderId="0" xfId="0" applyFont="1" applyFill="1"/>
    <xf numFmtId="0" fontId="0" fillId="27" borderId="0" xfId="0" applyFill="1"/>
    <xf numFmtId="0" fontId="10" fillId="27" borderId="0" xfId="0" applyFont="1" applyFill="1"/>
    <xf numFmtId="0" fontId="81" fillId="0" borderId="0" xfId="0" applyFont="1" applyAlignment="1">
      <alignment horizontal="right" vertical="top" wrapText="1"/>
    </xf>
    <xf numFmtId="0" fontId="55" fillId="0" borderId="0" xfId="0" applyFont="1"/>
    <xf numFmtId="0" fontId="33" fillId="0" borderId="0" xfId="0" applyFont="1" applyAlignment="1">
      <alignment horizontal="right" vertical="top" wrapText="1"/>
    </xf>
    <xf numFmtId="0" fontId="40" fillId="0" borderId="0" xfId="0" applyFont="1" applyAlignment="1">
      <alignment vertical="top"/>
    </xf>
    <xf numFmtId="0" fontId="4" fillId="0" borderId="0" xfId="0" applyFont="1" applyAlignment="1">
      <alignment vertical="center"/>
    </xf>
    <xf numFmtId="0" fontId="25" fillId="0" borderId="0" xfId="0" applyFont="1" applyAlignment="1">
      <alignment horizontal="center" vertical="center"/>
    </xf>
    <xf numFmtId="1" fontId="68" fillId="0" borderId="0" xfId="2" applyNumberFormat="1" applyFont="1" applyAlignment="1" applyProtection="1">
      <alignment horizontal="center" vertical="center" wrapText="1"/>
      <protection locked="0"/>
    </xf>
    <xf numFmtId="1" fontId="68" fillId="0" borderId="0" xfId="0" applyNumberFormat="1" applyFont="1" applyAlignment="1" applyProtection="1">
      <alignment horizontal="center" vertical="center"/>
      <protection locked="0"/>
    </xf>
    <xf numFmtId="0" fontId="47" fillId="0" borderId="0" xfId="0" applyFont="1" applyAlignment="1">
      <alignment horizontal="left" vertical="center" wrapText="1"/>
    </xf>
    <xf numFmtId="0" fontId="68" fillId="0" borderId="0" xfId="0" applyFont="1" applyAlignment="1" applyProtection="1">
      <alignment horizontal="center" vertical="center"/>
      <protection locked="0"/>
    </xf>
    <xf numFmtId="1" fontId="26" fillId="0" borderId="0" xfId="0" applyNumberFormat="1" applyFont="1" applyAlignment="1">
      <alignment horizontal="center" vertical="center"/>
    </xf>
    <xf numFmtId="0" fontId="16" fillId="0" borderId="0" xfId="0" applyFont="1" applyAlignment="1">
      <alignment vertical="center"/>
    </xf>
    <xf numFmtId="0" fontId="33" fillId="0" borderId="0" xfId="0" applyFont="1" applyAlignment="1">
      <alignment vertical="top" wrapText="1"/>
    </xf>
    <xf numFmtId="0" fontId="0" fillId="0" borderId="0" xfId="0" applyAlignment="1">
      <alignment horizontal="left" vertical="center" wrapText="1"/>
    </xf>
    <xf numFmtId="0" fontId="0" fillId="0" borderId="0" xfId="0" applyAlignment="1" applyProtection="1">
      <alignment horizontal="left" vertical="top" wrapText="1"/>
      <protection locked="0"/>
    </xf>
    <xf numFmtId="0" fontId="0" fillId="0" borderId="0" xfId="0" applyAlignment="1">
      <alignment vertical="center" wrapText="1"/>
    </xf>
    <xf numFmtId="0" fontId="3" fillId="0" borderId="0" xfId="0" applyFont="1"/>
    <xf numFmtId="0" fontId="52" fillId="0" borderId="0" xfId="0" applyFont="1" applyAlignment="1">
      <alignment vertical="center" wrapText="1"/>
    </xf>
    <xf numFmtId="0" fontId="4" fillId="0" borderId="0" xfId="0" applyFont="1" applyAlignment="1">
      <alignment vertical="top" wrapText="1"/>
    </xf>
    <xf numFmtId="0" fontId="4" fillId="0" borderId="0" xfId="0" applyFont="1" applyAlignment="1">
      <alignment vertical="center" wrapText="1"/>
    </xf>
    <xf numFmtId="0" fontId="6" fillId="0" borderId="0" xfId="1" applyAlignment="1" applyProtection="1">
      <alignment horizontal="center" vertical="top"/>
      <protection locked="0"/>
    </xf>
    <xf numFmtId="0" fontId="25" fillId="0" borderId="0" xfId="0" applyFont="1" applyAlignment="1" applyProtection="1">
      <alignment horizontal="center" vertical="center"/>
      <protection locked="0"/>
    </xf>
    <xf numFmtId="0" fontId="25" fillId="7" borderId="0" xfId="0" applyFont="1" applyFill="1" applyAlignment="1">
      <alignment horizontal="center" vertical="center"/>
    </xf>
    <xf numFmtId="0" fontId="30" fillId="7" borderId="0" xfId="0" applyFont="1" applyFill="1" applyAlignment="1">
      <alignment vertical="center"/>
    </xf>
    <xf numFmtId="0" fontId="68" fillId="0" borderId="0" xfId="0" applyFont="1" applyAlignment="1" applyProtection="1">
      <alignment vertical="top" wrapText="1"/>
      <protection locked="0"/>
    </xf>
    <xf numFmtId="0" fontId="2" fillId="7" borderId="5" xfId="0" applyFont="1" applyFill="1" applyBorder="1" applyAlignment="1">
      <alignment horizontal="left" vertical="center"/>
    </xf>
    <xf numFmtId="0" fontId="2" fillId="7" borderId="6" xfId="0" applyFont="1" applyFill="1" applyBorder="1" applyAlignment="1">
      <alignment horizontal="left" vertical="center"/>
    </xf>
    <xf numFmtId="0" fontId="2" fillId="7" borderId="14" xfId="0" applyFont="1" applyFill="1" applyBorder="1" applyAlignment="1">
      <alignment horizontal="left" vertical="center"/>
    </xf>
    <xf numFmtId="0" fontId="0" fillId="0" borderId="0" xfId="0" applyAlignment="1">
      <alignment horizontal="left" vertical="center"/>
    </xf>
    <xf numFmtId="0" fontId="2" fillId="3" borderId="5" xfId="0" applyFont="1" applyFill="1" applyBorder="1" applyAlignment="1">
      <alignment horizontal="justify" vertical="center" wrapText="1"/>
    </xf>
    <xf numFmtId="0" fontId="23" fillId="3" borderId="6" xfId="0" applyFont="1" applyFill="1" applyBorder="1" applyAlignment="1">
      <alignment horizontal="justify" vertical="center" wrapText="1"/>
    </xf>
    <xf numFmtId="0" fontId="23" fillId="3" borderId="14" xfId="0" applyFont="1" applyFill="1" applyBorder="1" applyAlignment="1">
      <alignment horizontal="justify" vertical="center" wrapText="1"/>
    </xf>
    <xf numFmtId="0" fontId="37" fillId="7" borderId="0" xfId="0" applyFont="1" applyFill="1" applyAlignment="1">
      <alignment horizontal="center" vertical="center" wrapText="1"/>
    </xf>
    <xf numFmtId="0" fontId="2" fillId="22" borderId="3" xfId="0" applyFont="1" applyFill="1" applyBorder="1" applyAlignment="1">
      <alignment vertical="center" wrapText="1"/>
    </xf>
    <xf numFmtId="0" fontId="2" fillId="22" borderId="0" xfId="0" applyFont="1" applyFill="1" applyAlignment="1">
      <alignment vertical="center"/>
    </xf>
    <xf numFmtId="0" fontId="30" fillId="7" borderId="7" xfId="0" applyFont="1" applyFill="1" applyBorder="1" applyAlignment="1">
      <alignment horizontal="center" vertical="center" wrapText="1"/>
    </xf>
    <xf numFmtId="0" fontId="30" fillId="7" borderId="8" xfId="0" applyFont="1" applyFill="1" applyBorder="1" applyAlignment="1">
      <alignment horizontal="center" vertical="center" wrapText="1"/>
    </xf>
    <xf numFmtId="0" fontId="30" fillId="7" borderId="9" xfId="0" applyFont="1" applyFill="1" applyBorder="1" applyAlignment="1">
      <alignment horizontal="center" vertical="center" wrapText="1"/>
    </xf>
    <xf numFmtId="0" fontId="2" fillId="7" borderId="3" xfId="0" applyFont="1" applyFill="1" applyBorder="1" applyAlignment="1">
      <alignment vertical="center"/>
    </xf>
    <xf numFmtId="0" fontId="2" fillId="7" borderId="0" xfId="0" applyFont="1" applyFill="1" applyAlignment="1">
      <alignment vertical="center"/>
    </xf>
    <xf numFmtId="0" fontId="52" fillId="7" borderId="6" xfId="0" applyFont="1" applyFill="1" applyBorder="1" applyAlignment="1">
      <alignment vertical="center" wrapText="1"/>
    </xf>
    <xf numFmtId="0" fontId="52" fillId="7" borderId="14" xfId="0" applyFont="1" applyFill="1" applyBorder="1" applyAlignment="1">
      <alignment vertical="center" wrapText="1"/>
    </xf>
    <xf numFmtId="0" fontId="45" fillId="0" borderId="0" xfId="0" applyFont="1" applyAlignment="1">
      <alignment horizontal="center"/>
    </xf>
    <xf numFmtId="0" fontId="6" fillId="0" borderId="0" xfId="1" applyAlignment="1" applyProtection="1">
      <alignment horizontal="center" vertical="top" wrapText="1"/>
      <protection locked="0"/>
    </xf>
    <xf numFmtId="0" fontId="0" fillId="0" borderId="0" xfId="0" applyAlignment="1">
      <alignment horizontal="center" vertical="center" wrapText="1"/>
    </xf>
    <xf numFmtId="0" fontId="0" fillId="0" borderId="12" xfId="0" applyBorder="1" applyAlignment="1">
      <alignment horizontal="center" vertical="center" wrapText="1"/>
    </xf>
    <xf numFmtId="0" fontId="52" fillId="0" borderId="0" xfId="0" applyFont="1" applyAlignment="1">
      <alignment vertical="top" wrapText="1"/>
    </xf>
    <xf numFmtId="0" fontId="9" fillId="10" borderId="0" xfId="0" applyFont="1" applyFill="1" applyAlignment="1">
      <alignment horizontal="center" vertical="center" wrapText="1"/>
    </xf>
    <xf numFmtId="0" fontId="9" fillId="10" borderId="0" xfId="0" applyFont="1" applyFill="1" applyAlignment="1">
      <alignment horizontal="center" vertical="center"/>
    </xf>
    <xf numFmtId="0" fontId="0" fillId="0" borderId="12" xfId="0" applyBorder="1" applyAlignment="1">
      <alignment horizontal="left" vertical="center" wrapText="1"/>
    </xf>
    <xf numFmtId="0" fontId="69" fillId="0" borderId="0" xfId="0" applyFont="1" applyAlignment="1">
      <alignment vertical="center" wrapText="1"/>
    </xf>
    <xf numFmtId="0" fontId="8" fillId="7" borderId="0" xfId="0" applyFont="1" applyFill="1" applyAlignment="1" applyProtection="1">
      <alignment horizontal="left" vertical="center" wrapText="1"/>
      <protection locked="0"/>
    </xf>
    <xf numFmtId="0" fontId="16" fillId="0" borderId="3" xfId="0" applyFont="1" applyBorder="1"/>
    <xf numFmtId="0" fontId="16" fillId="0" borderId="0" xfId="0" applyFont="1"/>
    <xf numFmtId="0" fontId="52" fillId="24" borderId="6" xfId="0" applyFont="1" applyFill="1" applyBorder="1" applyAlignment="1">
      <alignment vertical="center" wrapText="1"/>
    </xf>
    <xf numFmtId="0" fontId="52" fillId="24" borderId="14" xfId="0" applyFont="1" applyFill="1" applyBorder="1" applyAlignment="1">
      <alignment vertical="center" wrapText="1"/>
    </xf>
    <xf numFmtId="0" fontId="2" fillId="22" borderId="7" xfId="0" applyFont="1" applyFill="1" applyBorder="1" applyAlignment="1">
      <alignment vertical="center" wrapText="1"/>
    </xf>
    <xf numFmtId="0" fontId="2" fillId="22" borderId="8" xfId="0" applyFont="1" applyFill="1" applyBorder="1" applyAlignment="1">
      <alignment vertical="center"/>
    </xf>
    <xf numFmtId="0" fontId="2" fillId="22" borderId="9" xfId="0" applyFont="1" applyFill="1" applyBorder="1" applyAlignment="1">
      <alignment vertical="center"/>
    </xf>
    <xf numFmtId="0" fontId="37" fillId="7" borderId="7" xfId="0" applyFont="1" applyFill="1" applyBorder="1" applyAlignment="1">
      <alignment horizontal="center" vertical="center" wrapText="1"/>
    </xf>
    <xf numFmtId="0" fontId="37" fillId="7" borderId="8" xfId="0" applyFont="1" applyFill="1" applyBorder="1" applyAlignment="1">
      <alignment horizontal="center" vertical="center" wrapText="1"/>
    </xf>
    <xf numFmtId="0" fontId="37" fillId="7" borderId="9" xfId="0" applyFont="1" applyFill="1" applyBorder="1" applyAlignment="1">
      <alignment horizontal="center" vertical="center" wrapText="1"/>
    </xf>
    <xf numFmtId="0" fontId="2" fillId="3" borderId="3" xfId="0" applyFont="1" applyFill="1" applyBorder="1" applyAlignment="1">
      <alignment horizontal="left" vertical="center"/>
    </xf>
    <xf numFmtId="0" fontId="2" fillId="3" borderId="0" xfId="0" applyFont="1" applyFill="1" applyAlignment="1">
      <alignment horizontal="left" vertical="center"/>
    </xf>
    <xf numFmtId="0" fontId="2" fillId="3" borderId="12" xfId="0" applyFont="1" applyFill="1" applyBorder="1" applyAlignment="1">
      <alignment horizontal="left" vertical="center"/>
    </xf>
    <xf numFmtId="0" fontId="25" fillId="0" borderId="0" xfId="0" applyFont="1" applyAlignment="1">
      <alignment vertical="center" wrapText="1"/>
    </xf>
    <xf numFmtId="0" fontId="2" fillId="0" borderId="0" xfId="0" applyFont="1" applyAlignment="1">
      <alignment vertical="center" wrapText="1"/>
    </xf>
    <xf numFmtId="0" fontId="25" fillId="0" borderId="0" xfId="0" applyFont="1" applyAlignment="1">
      <alignment horizontal="left" vertical="center" wrapText="1"/>
    </xf>
    <xf numFmtId="0" fontId="5" fillId="0" borderId="0" xfId="0" applyFont="1" applyAlignment="1">
      <alignment horizontal="left" wrapText="1"/>
    </xf>
    <xf numFmtId="0" fontId="8" fillId="2" borderId="0" xfId="0" applyFont="1" applyFill="1" applyAlignment="1" applyProtection="1">
      <alignment horizontal="left" vertical="top" wrapText="1"/>
      <protection locked="0"/>
    </xf>
    <xf numFmtId="0" fontId="16" fillId="0" borderId="0" xfId="0" applyFont="1" applyAlignment="1">
      <alignment horizontal="left" vertical="center" wrapText="1"/>
    </xf>
    <xf numFmtId="0" fontId="18" fillId="0" borderId="0" xfId="0" applyFont="1" applyAlignment="1">
      <alignment horizontal="left"/>
    </xf>
    <xf numFmtId="0" fontId="2" fillId="7" borderId="10" xfId="0" applyFont="1" applyFill="1" applyBorder="1" applyAlignment="1">
      <alignment vertical="center" wrapText="1"/>
    </xf>
    <xf numFmtId="0" fontId="2" fillId="7" borderId="11" xfId="0" applyFont="1" applyFill="1" applyBorder="1" applyAlignment="1">
      <alignment vertical="center"/>
    </xf>
    <xf numFmtId="0" fontId="2" fillId="0" borderId="0" xfId="0" applyFont="1" applyAlignment="1">
      <alignment vertical="center"/>
    </xf>
    <xf numFmtId="0" fontId="2" fillId="7" borderId="7" xfId="0" applyFont="1" applyFill="1" applyBorder="1" applyAlignment="1">
      <alignment vertical="center"/>
    </xf>
    <xf numFmtId="0" fontId="2" fillId="7" borderId="8" xfId="0" applyFont="1" applyFill="1" applyBorder="1" applyAlignment="1">
      <alignment vertical="center"/>
    </xf>
    <xf numFmtId="0" fontId="2" fillId="7" borderId="9" xfId="0" applyFont="1" applyFill="1" applyBorder="1" applyAlignment="1">
      <alignment vertical="center"/>
    </xf>
    <xf numFmtId="0" fontId="0" fillId="7" borderId="0" xfId="0" applyFill="1" applyAlignment="1">
      <alignment horizontal="center" vertical="center"/>
    </xf>
    <xf numFmtId="0" fontId="25" fillId="7" borderId="0" xfId="0" applyFont="1" applyFill="1" applyAlignment="1">
      <alignment horizontal="center" vertical="center" wrapText="1"/>
    </xf>
    <xf numFmtId="0" fontId="47" fillId="2" borderId="0" xfId="0" applyFont="1" applyFill="1" applyAlignment="1" applyProtection="1">
      <alignment horizontal="left" vertical="top" wrapText="1"/>
      <protection locked="0"/>
    </xf>
    <xf numFmtId="0" fontId="2" fillId="0" borderId="0" xfId="0" applyFont="1"/>
    <xf numFmtId="0" fontId="2" fillId="0" borderId="0" xfId="0" applyFont="1" applyAlignment="1">
      <alignment horizontal="center" vertical="center"/>
    </xf>
    <xf numFmtId="0" fontId="2" fillId="0" borderId="0" xfId="0" applyFont="1" applyAlignment="1">
      <alignment horizontal="center"/>
    </xf>
    <xf numFmtId="0" fontId="2" fillId="7" borderId="5" xfId="0" applyFont="1" applyFill="1" applyBorder="1" applyAlignment="1">
      <alignment vertical="center"/>
    </xf>
    <xf numFmtId="0" fontId="2" fillId="7" borderId="6" xfId="0" applyFont="1" applyFill="1" applyBorder="1" applyAlignment="1">
      <alignment vertical="center"/>
    </xf>
    <xf numFmtId="0" fontId="2" fillId="7" borderId="7" xfId="0" applyFont="1" applyFill="1" applyBorder="1" applyAlignment="1">
      <alignment horizontal="left" vertical="center" wrapText="1"/>
    </xf>
    <xf numFmtId="0" fontId="25" fillId="7" borderId="8" xfId="0" applyFont="1" applyFill="1" applyBorder="1" applyAlignment="1">
      <alignment horizontal="left" vertical="center"/>
    </xf>
    <xf numFmtId="0" fontId="25" fillId="7" borderId="9" xfId="0" applyFont="1" applyFill="1" applyBorder="1" applyAlignment="1">
      <alignment horizontal="left" vertical="center"/>
    </xf>
    <xf numFmtId="0" fontId="47" fillId="0" borderId="0" xfId="0" applyFont="1" applyAlignment="1" applyProtection="1">
      <alignment horizontal="left" vertical="top" wrapText="1"/>
      <protection locked="0"/>
    </xf>
    <xf numFmtId="0" fontId="2" fillId="0" borderId="0" xfId="0" applyFont="1" applyAlignment="1">
      <alignment wrapText="1"/>
    </xf>
    <xf numFmtId="0" fontId="45" fillId="0" borderId="0" xfId="0" applyFont="1" applyAlignment="1">
      <alignment horizontal="left"/>
    </xf>
    <xf numFmtId="0" fontId="64" fillId="0" borderId="0" xfId="0" applyFont="1" applyAlignment="1">
      <alignment horizontal="center"/>
    </xf>
    <xf numFmtId="0" fontId="32" fillId="24" borderId="5" xfId="0" applyFont="1" applyFill="1" applyBorder="1" applyAlignment="1">
      <alignment horizontal="justify" vertical="center" wrapText="1"/>
    </xf>
    <xf numFmtId="0" fontId="23" fillId="24" borderId="6" xfId="0" applyFont="1" applyFill="1" applyBorder="1" applyAlignment="1">
      <alignment horizontal="justify" vertical="center" wrapText="1"/>
    </xf>
    <xf numFmtId="0" fontId="23" fillId="24" borderId="14" xfId="0" applyFont="1" applyFill="1" applyBorder="1" applyAlignment="1">
      <alignment horizontal="justify" vertical="center" wrapText="1"/>
    </xf>
    <xf numFmtId="0" fontId="25" fillId="24" borderId="3" xfId="0" applyFont="1" applyFill="1" applyBorder="1" applyAlignment="1">
      <alignment horizontal="left" vertical="center" wrapText="1"/>
    </xf>
    <xf numFmtId="0" fontId="2" fillId="24" borderId="0" xfId="0" applyFont="1" applyFill="1" applyAlignment="1">
      <alignment horizontal="left" vertical="center"/>
    </xf>
    <xf numFmtId="0" fontId="2" fillId="24" borderId="10" xfId="0" applyFont="1" applyFill="1" applyBorder="1" applyAlignment="1">
      <alignment vertical="center"/>
    </xf>
    <xf numFmtId="0" fontId="2" fillId="24" borderId="11" xfId="0" applyFont="1" applyFill="1" applyBorder="1" applyAlignment="1">
      <alignment vertical="center"/>
    </xf>
    <xf numFmtId="0" fontId="2" fillId="24" borderId="13" xfId="0" applyFont="1" applyFill="1" applyBorder="1" applyAlignment="1">
      <alignment vertical="center"/>
    </xf>
    <xf numFmtId="0" fontId="30" fillId="23" borderId="7" xfId="0" applyFont="1" applyFill="1" applyBorder="1" applyAlignment="1">
      <alignment horizontal="center" vertical="center" wrapText="1"/>
    </xf>
    <xf numFmtId="0" fontId="30" fillId="23" borderId="8" xfId="0" applyFont="1" applyFill="1" applyBorder="1" applyAlignment="1">
      <alignment horizontal="center" vertical="center" wrapText="1"/>
    </xf>
    <xf numFmtId="0" fontId="30" fillId="23" borderId="9" xfId="0" applyFont="1" applyFill="1" applyBorder="1" applyAlignment="1">
      <alignment horizontal="center" vertical="center" wrapText="1"/>
    </xf>
    <xf numFmtId="0" fontId="30" fillId="12" borderId="7" xfId="0" applyFont="1" applyFill="1" applyBorder="1" applyAlignment="1">
      <alignment horizontal="center" vertical="center" wrapText="1"/>
    </xf>
    <xf numFmtId="0" fontId="30" fillId="12" borderId="8" xfId="0" applyFont="1" applyFill="1" applyBorder="1" applyAlignment="1">
      <alignment horizontal="center" vertical="center" wrapText="1"/>
    </xf>
    <xf numFmtId="0" fontId="30" fillId="12" borderId="9" xfId="0" applyFont="1" applyFill="1" applyBorder="1" applyAlignment="1">
      <alignment horizontal="center" vertical="center" wrapText="1"/>
    </xf>
    <xf numFmtId="0" fontId="30" fillId="0" borderId="0" xfId="0" applyFont="1" applyAlignment="1" applyProtection="1">
      <alignment horizontal="center" vertical="center"/>
      <protection locked="0"/>
    </xf>
    <xf numFmtId="0" fontId="30" fillId="0" borderId="0" xfId="0" applyFont="1" applyAlignment="1">
      <alignment horizontal="center" vertical="center"/>
    </xf>
    <xf numFmtId="0" fontId="30" fillId="0" borderId="0" xfId="0" applyFont="1" applyAlignment="1">
      <alignment horizontal="center" vertical="center" wrapText="1"/>
    </xf>
    <xf numFmtId="0" fontId="0" fillId="0" borderId="0" xfId="0" applyAlignment="1">
      <alignment horizontal="center" vertical="center"/>
    </xf>
    <xf numFmtId="0" fontId="6" fillId="0" borderId="0" xfId="1" applyAlignment="1" applyProtection="1">
      <alignment horizontal="center" vertical="center"/>
      <protection locked="0"/>
    </xf>
    <xf numFmtId="0" fontId="36" fillId="0" borderId="0" xfId="0" applyFont="1" applyAlignment="1">
      <alignment horizontal="center" vertical="center" wrapText="1"/>
    </xf>
    <xf numFmtId="0" fontId="23" fillId="10" borderId="7" xfId="0" applyFont="1" applyFill="1" applyBorder="1" applyAlignment="1">
      <alignment horizontal="justify" vertical="center" wrapText="1"/>
    </xf>
    <xf numFmtId="0" fontId="23" fillId="10" borderId="8" xfId="0" applyFont="1" applyFill="1" applyBorder="1" applyAlignment="1">
      <alignment horizontal="justify" vertical="center" wrapText="1"/>
    </xf>
    <xf numFmtId="0" fontId="23" fillId="10" borderId="9" xfId="0" applyFont="1" applyFill="1" applyBorder="1" applyAlignment="1">
      <alignment horizontal="justify" vertical="center" wrapText="1"/>
    </xf>
    <xf numFmtId="0" fontId="0" fillId="0" borderId="0" xfId="0" applyAlignment="1">
      <alignment vertical="top" wrapText="1"/>
    </xf>
    <xf numFmtId="0" fontId="79" fillId="0" borderId="0" xfId="0" applyFont="1"/>
    <xf numFmtId="0" fontId="52" fillId="7" borderId="0" xfId="0" applyFont="1" applyFill="1" applyAlignment="1">
      <alignment horizontal="left" vertical="center" wrapText="1"/>
    </xf>
    <xf numFmtId="0" fontId="52" fillId="7" borderId="12" xfId="0" applyFont="1" applyFill="1" applyBorder="1" applyAlignment="1">
      <alignment horizontal="left" vertical="center" wrapText="1"/>
    </xf>
    <xf numFmtId="0" fontId="30" fillId="0" borderId="0" xfId="0" applyFont="1" applyAlignment="1">
      <alignment horizontal="left" vertical="center" wrapText="1"/>
    </xf>
    <xf numFmtId="0" fontId="26" fillId="0" borderId="0" xfId="0" applyFont="1" applyAlignment="1" applyProtection="1">
      <alignment horizontal="center" vertical="center"/>
      <protection locked="0"/>
    </xf>
    <xf numFmtId="0" fontId="45" fillId="0" borderId="0" xfId="0" applyFont="1" applyAlignment="1">
      <alignment horizontal="left" vertical="center"/>
    </xf>
    <xf numFmtId="0" fontId="32" fillId="13" borderId="5" xfId="0" applyFont="1" applyFill="1" applyBorder="1" applyAlignment="1">
      <alignment horizontal="justify" vertical="center" wrapText="1"/>
    </xf>
    <xf numFmtId="0" fontId="23" fillId="13" borderId="6" xfId="0" applyFont="1" applyFill="1" applyBorder="1" applyAlignment="1">
      <alignment horizontal="justify" vertical="center" wrapText="1"/>
    </xf>
    <xf numFmtId="0" fontId="23" fillId="13" borderId="14" xfId="0" applyFont="1" applyFill="1" applyBorder="1" applyAlignment="1">
      <alignment horizontal="justify" vertical="center" wrapText="1"/>
    </xf>
    <xf numFmtId="0" fontId="52" fillId="21" borderId="0" xfId="0" applyFont="1" applyFill="1" applyAlignment="1">
      <alignment horizontal="left" vertical="center" wrapText="1"/>
    </xf>
    <xf numFmtId="0" fontId="52" fillId="21" borderId="12" xfId="0" applyFont="1" applyFill="1" applyBorder="1" applyAlignment="1">
      <alignment horizontal="left" vertical="center" wrapText="1"/>
    </xf>
    <xf numFmtId="0" fontId="2" fillId="21" borderId="10" xfId="0" applyFont="1" applyFill="1" applyBorder="1" applyAlignment="1">
      <alignment vertical="center"/>
    </xf>
    <xf numFmtId="0" fontId="2" fillId="21" borderId="11" xfId="0" applyFont="1" applyFill="1" applyBorder="1" applyAlignment="1">
      <alignment vertical="center"/>
    </xf>
    <xf numFmtId="0" fontId="2" fillId="21" borderId="13" xfId="0" applyFont="1" applyFill="1" applyBorder="1" applyAlignment="1">
      <alignment vertical="center"/>
    </xf>
    <xf numFmtId="0" fontId="2" fillId="0" borderId="0" xfId="0" applyFont="1" applyAlignment="1">
      <alignment horizontal="left" wrapText="1"/>
    </xf>
    <xf numFmtId="0" fontId="2" fillId="0" borderId="0" xfId="0" applyFont="1" applyAlignment="1">
      <alignment horizontal="left" vertical="center" wrapText="1"/>
    </xf>
    <xf numFmtId="0" fontId="45" fillId="0" borderId="0" xfId="0" applyFont="1"/>
    <xf numFmtId="0" fontId="84" fillId="26" borderId="0" xfId="0" applyFont="1" applyFill="1" applyAlignment="1">
      <alignment horizontal="center" vertical="center" wrapText="1"/>
    </xf>
    <xf numFmtId="0" fontId="65" fillId="2" borderId="0" xfId="0" applyFont="1" applyFill="1" applyAlignment="1">
      <alignment horizontal="justify" vertical="center" wrapText="1"/>
    </xf>
    <xf numFmtId="0" fontId="41" fillId="4" borderId="7" xfId="0" applyFont="1" applyFill="1" applyBorder="1" applyAlignment="1" applyProtection="1">
      <alignment horizontal="left" vertical="center"/>
      <protection locked="0"/>
    </xf>
    <xf numFmtId="0" fontId="41" fillId="4" borderId="8" xfId="0" applyFont="1" applyFill="1" applyBorder="1" applyAlignment="1" applyProtection="1">
      <alignment horizontal="left" vertical="center"/>
      <protection locked="0"/>
    </xf>
    <xf numFmtId="0" fontId="41" fillId="4" borderId="9" xfId="0" applyFont="1" applyFill="1" applyBorder="1" applyAlignment="1" applyProtection="1">
      <alignment horizontal="left" vertical="center"/>
      <protection locked="0"/>
    </xf>
    <xf numFmtId="0" fontId="2" fillId="0" borderId="3" xfId="0" applyFont="1" applyBorder="1" applyAlignment="1">
      <alignment horizontal="right" vertical="center"/>
    </xf>
    <xf numFmtId="0" fontId="2" fillId="0" borderId="12" xfId="0" applyFont="1" applyBorder="1" applyAlignment="1">
      <alignment horizontal="right" vertical="center"/>
    </xf>
    <xf numFmtId="0" fontId="61" fillId="0" borderId="0" xfId="0" applyFont="1" applyAlignment="1">
      <alignment horizontal="center"/>
    </xf>
    <xf numFmtId="0" fontId="22" fillId="2" borderId="0" xfId="0" applyFont="1" applyFill="1" applyAlignment="1">
      <alignment horizontal="center" vertical="center" wrapText="1"/>
    </xf>
    <xf numFmtId="0" fontId="17" fillId="2" borderId="0" xfId="0" applyFont="1" applyFill="1" applyAlignment="1">
      <alignment horizontal="center" vertical="center" wrapText="1"/>
    </xf>
    <xf numFmtId="0" fontId="41" fillId="4" borderId="1" xfId="0" applyFont="1" applyFill="1" applyBorder="1" applyAlignment="1" applyProtection="1">
      <alignment horizontal="left" vertical="center"/>
      <protection locked="0"/>
    </xf>
    <xf numFmtId="0" fontId="0" fillId="20" borderId="0" xfId="0" applyFill="1" applyAlignment="1">
      <alignment vertical="center" wrapText="1"/>
    </xf>
    <xf numFmtId="0" fontId="15" fillId="0" borderId="3" xfId="0" applyFont="1" applyBorder="1" applyAlignment="1">
      <alignment horizontal="center" vertical="center" wrapText="1"/>
    </xf>
    <xf numFmtId="0" fontId="15" fillId="0" borderId="0" xfId="0" applyFont="1" applyAlignment="1">
      <alignment horizontal="center" vertical="center" wrapText="1"/>
    </xf>
    <xf numFmtId="0" fontId="19" fillId="8" borderId="0" xfId="0" applyFont="1" applyFill="1" applyAlignment="1">
      <alignment horizontal="right" vertical="center" wrapText="1"/>
    </xf>
    <xf numFmtId="0" fontId="6" fillId="8" borderId="0" xfId="1" applyFill="1" applyAlignment="1" applyProtection="1">
      <alignment horizontal="left" vertical="center" wrapText="1"/>
      <protection locked="0"/>
    </xf>
    <xf numFmtId="0" fontId="6" fillId="4" borderId="0" xfId="1" applyFill="1" applyBorder="1" applyAlignment="1" applyProtection="1">
      <alignment horizontal="left" vertical="center" wrapText="1"/>
      <protection locked="0"/>
    </xf>
    <xf numFmtId="0" fontId="63" fillId="4" borderId="0" xfId="1" applyFont="1" applyFill="1" applyBorder="1" applyAlignment="1" applyProtection="1">
      <alignment horizontal="left" vertical="center" wrapText="1"/>
      <protection locked="0"/>
    </xf>
    <xf numFmtId="0" fontId="2" fillId="20" borderId="0" xfId="0" applyFont="1" applyFill="1" applyAlignment="1">
      <alignment horizontal="center" vertical="center" wrapText="1"/>
    </xf>
    <xf numFmtId="0" fontId="0" fillId="20" borderId="0" xfId="0" applyFill="1" applyAlignment="1">
      <alignment horizontal="center" vertical="center" wrapText="1"/>
    </xf>
    <xf numFmtId="0" fontId="11" fillId="0" borderId="0" xfId="0" applyFont="1" applyAlignment="1">
      <alignment horizontal="center" vertical="center" wrapText="1"/>
    </xf>
    <xf numFmtId="0" fontId="72" fillId="0" borderId="0" xfId="0" applyFont="1" applyAlignment="1">
      <alignment horizontal="left" vertical="center" wrapText="1"/>
    </xf>
    <xf numFmtId="0" fontId="16" fillId="0" borderId="0" xfId="0" applyFont="1" applyAlignment="1">
      <alignment vertical="top" wrapText="1"/>
    </xf>
    <xf numFmtId="0" fontId="5" fillId="0" borderId="12" xfId="0" applyFont="1" applyBorder="1" applyAlignment="1">
      <alignment horizontal="left" wrapText="1"/>
    </xf>
    <xf numFmtId="0" fontId="55" fillId="0" borderId="0" xfId="0" applyFont="1" applyAlignment="1">
      <alignment horizontal="left"/>
    </xf>
    <xf numFmtId="0" fontId="23" fillId="3" borderId="0" xfId="0" applyFont="1" applyFill="1" applyAlignment="1">
      <alignment horizontal="justify" vertical="center" wrapText="1"/>
    </xf>
    <xf numFmtId="0" fontId="2" fillId="3" borderId="3" xfId="0" applyFont="1" applyFill="1" applyBorder="1" applyAlignment="1">
      <alignment vertical="center" wrapText="1"/>
    </xf>
    <xf numFmtId="0" fontId="2" fillId="3" borderId="0" xfId="0" applyFont="1" applyFill="1" applyAlignment="1">
      <alignment vertical="center"/>
    </xf>
    <xf numFmtId="0" fontId="16" fillId="0" borderId="0" xfId="0" applyFont="1" applyAlignment="1">
      <alignment wrapText="1"/>
    </xf>
    <xf numFmtId="0" fontId="30" fillId="7" borderId="10" xfId="0" applyFont="1" applyFill="1" applyBorder="1" applyAlignment="1">
      <alignment horizontal="center" vertical="center" wrapText="1"/>
    </xf>
    <xf numFmtId="0" fontId="30" fillId="7" borderId="11" xfId="0" applyFont="1" applyFill="1" applyBorder="1" applyAlignment="1">
      <alignment horizontal="center" vertical="center" wrapText="1"/>
    </xf>
    <xf numFmtId="0" fontId="30" fillId="7" borderId="13" xfId="0" applyFont="1" applyFill="1" applyBorder="1" applyAlignment="1">
      <alignment horizontal="center" vertical="center" wrapText="1"/>
    </xf>
    <xf numFmtId="0" fontId="41" fillId="7" borderId="0" xfId="0" applyFont="1" applyFill="1" applyAlignment="1" applyProtection="1">
      <alignment horizontal="left" vertical="center"/>
      <protection locked="0"/>
    </xf>
    <xf numFmtId="0" fontId="68" fillId="0" borderId="0" xfId="0" applyFont="1" applyAlignment="1">
      <alignment vertical="top"/>
    </xf>
    <xf numFmtId="0" fontId="49" fillId="0" borderId="0" xfId="0" applyFont="1" applyAlignment="1">
      <alignment horizontal="center" wrapText="1"/>
    </xf>
    <xf numFmtId="0" fontId="2" fillId="14" borderId="5" xfId="0" applyFont="1" applyFill="1" applyBorder="1" applyAlignment="1">
      <alignment horizontal="justify" vertical="center" wrapText="1"/>
    </xf>
    <xf numFmtId="0" fontId="23" fillId="14" borderId="6" xfId="0" applyFont="1" applyFill="1" applyBorder="1" applyAlignment="1">
      <alignment horizontal="justify" vertical="center" wrapText="1"/>
    </xf>
    <xf numFmtId="0" fontId="23" fillId="14" borderId="14" xfId="0" applyFont="1" applyFill="1" applyBorder="1" applyAlignment="1">
      <alignment horizontal="justify" vertical="center" wrapText="1"/>
    </xf>
    <xf numFmtId="0" fontId="30" fillId="15" borderId="3" xfId="0" applyFont="1" applyFill="1" applyBorder="1" applyAlignment="1">
      <alignment horizontal="center" vertical="center" wrapText="1"/>
    </xf>
    <xf numFmtId="0" fontId="30" fillId="15" borderId="0" xfId="0" applyFont="1" applyFill="1" applyAlignment="1">
      <alignment horizontal="center" vertical="center" wrapText="1"/>
    </xf>
    <xf numFmtId="0" fontId="30" fillId="15" borderId="12" xfId="0" applyFont="1" applyFill="1" applyBorder="1" applyAlignment="1">
      <alignment horizontal="center" vertical="center" wrapText="1"/>
    </xf>
    <xf numFmtId="0" fontId="2" fillId="3" borderId="7" xfId="0" applyFont="1" applyFill="1" applyBorder="1" applyAlignment="1">
      <alignment horizontal="left" vertical="center" wrapText="1"/>
    </xf>
    <xf numFmtId="0" fontId="2" fillId="3" borderId="8" xfId="0" applyFont="1" applyFill="1" applyBorder="1" applyAlignment="1">
      <alignment horizontal="left" vertical="center"/>
    </xf>
    <xf numFmtId="0" fontId="2" fillId="3" borderId="9" xfId="0" applyFont="1" applyFill="1" applyBorder="1" applyAlignment="1">
      <alignment horizontal="left" vertical="center"/>
    </xf>
    <xf numFmtId="0" fontId="0" fillId="0" borderId="0" xfId="0" applyAlignment="1">
      <alignment horizontal="left" vertical="top"/>
    </xf>
    <xf numFmtId="0" fontId="8" fillId="4" borderId="1" xfId="0" applyFont="1" applyFill="1" applyBorder="1" applyProtection="1">
      <protection locked="0"/>
    </xf>
    <xf numFmtId="0" fontId="59" fillId="6" borderId="0" xfId="0" applyFont="1" applyFill="1" applyAlignment="1">
      <alignment horizontal="justify" vertical="center" wrapText="1"/>
    </xf>
    <xf numFmtId="0" fontId="50" fillId="7" borderId="0" xfId="0" applyFont="1" applyFill="1" applyAlignment="1">
      <alignment horizontal="center"/>
    </xf>
    <xf numFmtId="0" fontId="2" fillId="6" borderId="3" xfId="0" applyFont="1" applyFill="1" applyBorder="1" applyAlignment="1">
      <alignment horizontal="justify" vertical="center" wrapText="1"/>
    </xf>
    <xf numFmtId="0" fontId="23" fillId="6" borderId="0" xfId="0" applyFont="1" applyFill="1" applyAlignment="1">
      <alignment horizontal="justify" vertical="center" wrapText="1"/>
    </xf>
    <xf numFmtId="0" fontId="23" fillId="6" borderId="12" xfId="0" applyFont="1" applyFill="1" applyBorder="1" applyAlignment="1">
      <alignment horizontal="justify" vertical="center" wrapText="1"/>
    </xf>
    <xf numFmtId="0" fontId="36" fillId="7" borderId="0" xfId="0" applyFont="1" applyFill="1" applyAlignment="1">
      <alignment horizontal="center" vertical="center"/>
    </xf>
    <xf numFmtId="0" fontId="0" fillId="0" borderId="0" xfId="0" applyAlignment="1">
      <alignment horizontal="left" vertical="top" wrapText="1"/>
    </xf>
    <xf numFmtId="0" fontId="2" fillId="7" borderId="7" xfId="0" applyFont="1" applyFill="1" applyBorder="1" applyAlignment="1">
      <alignment vertical="center" wrapText="1"/>
    </xf>
    <xf numFmtId="0" fontId="2" fillId="7" borderId="8" xfId="0" applyFont="1" applyFill="1" applyBorder="1" applyAlignment="1">
      <alignment vertical="center" wrapText="1"/>
    </xf>
    <xf numFmtId="0" fontId="2" fillId="7" borderId="9" xfId="0" applyFont="1" applyFill="1" applyBorder="1" applyAlignment="1">
      <alignment vertical="center" wrapText="1"/>
    </xf>
    <xf numFmtId="0" fontId="30" fillId="0" borderId="7" xfId="0" applyFont="1" applyBorder="1" applyAlignment="1" applyProtection="1">
      <alignment horizontal="center" vertical="center"/>
      <protection locked="0"/>
    </xf>
    <xf numFmtId="0" fontId="30" fillId="0" borderId="9" xfId="0" applyFont="1" applyBorder="1" applyAlignment="1" applyProtection="1">
      <alignment horizontal="center" vertical="center"/>
      <protection locked="0"/>
    </xf>
    <xf numFmtId="0" fontId="85" fillId="0" borderId="0" xfId="0" applyFont="1" applyAlignment="1">
      <alignment horizontal="center" vertical="center"/>
    </xf>
    <xf numFmtId="0" fontId="72" fillId="7" borderId="0" xfId="0" applyFont="1" applyFill="1" applyAlignment="1">
      <alignment vertical="center" wrapText="1"/>
    </xf>
    <xf numFmtId="0" fontId="72" fillId="7" borderId="12" xfId="0" applyFont="1" applyFill="1" applyBorder="1" applyAlignment="1">
      <alignment vertical="center" wrapText="1"/>
    </xf>
    <xf numFmtId="0" fontId="27" fillId="3" borderId="0" xfId="1" applyFont="1" applyFill="1" applyAlignment="1" applyProtection="1">
      <alignment horizontal="center" vertical="top" wrapText="1"/>
      <protection locked="0"/>
    </xf>
    <xf numFmtId="0" fontId="45" fillId="0" borderId="0" xfId="0" applyFont="1" applyAlignment="1">
      <alignment horizontal="center" vertical="center" wrapText="1"/>
    </xf>
    <xf numFmtId="0" fontId="55" fillId="0" borderId="0" xfId="0" applyFont="1" applyAlignment="1">
      <alignment horizontal="center" vertical="center"/>
    </xf>
    <xf numFmtId="0" fontId="32" fillId="20" borderId="5" xfId="0" applyFont="1" applyFill="1" applyBorder="1" applyAlignment="1">
      <alignment horizontal="justify" vertical="center" wrapText="1"/>
    </xf>
    <xf numFmtId="0" fontId="32" fillId="20" borderId="6" xfId="0" applyFont="1" applyFill="1" applyBorder="1" applyAlignment="1">
      <alignment horizontal="justify" vertical="center" wrapText="1"/>
    </xf>
    <xf numFmtId="0" fontId="32" fillId="20" borderId="14" xfId="0" applyFont="1" applyFill="1" applyBorder="1" applyAlignment="1">
      <alignment horizontal="justify" vertical="center" wrapText="1"/>
    </xf>
    <xf numFmtId="0" fontId="31" fillId="7" borderId="5" xfId="0" applyFont="1" applyFill="1" applyBorder="1" applyAlignment="1">
      <alignment horizontal="left" vertical="center"/>
    </xf>
    <xf numFmtId="0" fontId="31" fillId="7" borderId="6" xfId="0" applyFont="1" applyFill="1" applyBorder="1" applyAlignment="1">
      <alignment horizontal="left" vertical="center"/>
    </xf>
    <xf numFmtId="0" fontId="31" fillId="7" borderId="10" xfId="0" applyFont="1" applyFill="1" applyBorder="1" applyAlignment="1">
      <alignment horizontal="left" vertical="center"/>
    </xf>
    <xf numFmtId="0" fontId="31" fillId="7" borderId="11" xfId="0" applyFont="1" applyFill="1" applyBorder="1" applyAlignment="1">
      <alignment horizontal="left" vertical="center"/>
    </xf>
    <xf numFmtId="0" fontId="31" fillId="7" borderId="13" xfId="0" applyFont="1" applyFill="1" applyBorder="1" applyAlignment="1">
      <alignment horizontal="left" vertical="center"/>
    </xf>
    <xf numFmtId="0" fontId="0" fillId="20" borderId="7" xfId="0" applyFill="1" applyBorder="1"/>
    <xf numFmtId="0" fontId="0" fillId="20" borderId="8" xfId="0" applyFill="1" applyBorder="1"/>
    <xf numFmtId="0" fontId="25" fillId="21" borderId="3" xfId="0" applyFont="1" applyFill="1" applyBorder="1" applyAlignment="1">
      <alignment horizontal="left" vertical="center" wrapText="1"/>
    </xf>
    <xf numFmtId="0" fontId="2" fillId="21" borderId="0" xfId="0" applyFont="1" applyFill="1" applyAlignment="1">
      <alignment horizontal="left" vertical="center"/>
    </xf>
    <xf numFmtId="0" fontId="2" fillId="0" borderId="0" xfId="0" applyFont="1" applyAlignment="1" applyProtection="1">
      <alignment horizontal="left" vertical="top" wrapText="1"/>
      <protection locked="0"/>
    </xf>
    <xf numFmtId="0" fontId="30" fillId="20" borderId="7" xfId="0" applyFont="1" applyFill="1" applyBorder="1" applyAlignment="1">
      <alignment vertical="center" wrapText="1"/>
    </xf>
    <xf numFmtId="0" fontId="30" fillId="20" borderId="8" xfId="0" applyFont="1" applyFill="1" applyBorder="1" applyAlignment="1">
      <alignment vertical="center" wrapText="1"/>
    </xf>
    <xf numFmtId="0" fontId="30" fillId="20" borderId="9" xfId="0" applyFont="1" applyFill="1" applyBorder="1" applyAlignment="1">
      <alignment vertical="center" wrapText="1"/>
    </xf>
    <xf numFmtId="0" fontId="36" fillId="0" borderId="0" xfId="0" applyFont="1" applyAlignment="1">
      <alignment horizontal="center" vertical="center"/>
    </xf>
    <xf numFmtId="0" fontId="25" fillId="7" borderId="5" xfId="0" applyFont="1" applyFill="1" applyBorder="1" applyAlignment="1">
      <alignment vertical="center" wrapText="1"/>
    </xf>
    <xf numFmtId="0" fontId="25" fillId="7" borderId="6" xfId="0" applyFont="1" applyFill="1" applyBorder="1" applyAlignment="1">
      <alignment vertical="center" wrapText="1"/>
    </xf>
    <xf numFmtId="0" fontId="25" fillId="7" borderId="14" xfId="0" applyFont="1" applyFill="1" applyBorder="1" applyAlignment="1">
      <alignment vertical="center" wrapText="1"/>
    </xf>
    <xf numFmtId="0" fontId="20" fillId="0" borderId="0" xfId="0" applyFont="1" applyAlignment="1">
      <alignment wrapText="1"/>
    </xf>
    <xf numFmtId="0" fontId="30" fillId="11" borderId="7" xfId="0" applyFont="1" applyFill="1" applyBorder="1" applyAlignment="1">
      <alignment horizontal="center" vertical="center"/>
    </xf>
    <xf numFmtId="0" fontId="30" fillId="11" borderId="8" xfId="0" applyFont="1" applyFill="1" applyBorder="1" applyAlignment="1">
      <alignment horizontal="center" vertical="center"/>
    </xf>
    <xf numFmtId="0" fontId="30" fillId="11" borderId="13" xfId="0" applyFont="1" applyFill="1" applyBorder="1" applyAlignment="1">
      <alignment horizontal="center" vertical="center"/>
    </xf>
    <xf numFmtId="0" fontId="30" fillId="0" borderId="0" xfId="0" applyFont="1" applyAlignment="1">
      <alignment horizontal="justify" vertical="center" wrapText="1"/>
    </xf>
    <xf numFmtId="0" fontId="27" fillId="6" borderId="5" xfId="1" applyFont="1" applyFill="1" applyBorder="1" applyAlignment="1" applyProtection="1">
      <alignment horizontal="center" vertical="center" wrapText="1"/>
      <protection locked="0"/>
    </xf>
    <xf numFmtId="0" fontId="27" fillId="6" borderId="6" xfId="1" applyFont="1" applyFill="1" applyBorder="1" applyAlignment="1" applyProtection="1">
      <alignment horizontal="center" vertical="center" wrapText="1"/>
      <protection locked="0"/>
    </xf>
    <xf numFmtId="0" fontId="27" fillId="6" borderId="14" xfId="1" applyFont="1" applyFill="1" applyBorder="1" applyAlignment="1" applyProtection="1">
      <alignment horizontal="center" vertical="center" wrapText="1"/>
      <protection locked="0"/>
    </xf>
    <xf numFmtId="0" fontId="30" fillId="6" borderId="0" xfId="0" applyFont="1" applyFill="1" applyAlignment="1">
      <alignment vertical="center"/>
    </xf>
    <xf numFmtId="0" fontId="30" fillId="16" borderId="7" xfId="0" applyFont="1" applyFill="1" applyBorder="1" applyAlignment="1">
      <alignment horizontal="left" vertical="center" wrapText="1"/>
    </xf>
    <xf numFmtId="0" fontId="30" fillId="16" borderId="8" xfId="0" applyFont="1" applyFill="1" applyBorder="1" applyAlignment="1">
      <alignment horizontal="left" vertical="center" wrapText="1"/>
    </xf>
    <xf numFmtId="0" fontId="30" fillId="16" borderId="9" xfId="0" applyFont="1" applyFill="1" applyBorder="1" applyAlignment="1">
      <alignment horizontal="left" vertical="center" wrapText="1"/>
    </xf>
    <xf numFmtId="0" fontId="30" fillId="25" borderId="7" xfId="0" applyFont="1" applyFill="1" applyBorder="1" applyAlignment="1">
      <alignment horizontal="center" vertical="center" wrapText="1"/>
    </xf>
    <xf numFmtId="0" fontId="30" fillId="25" borderId="8" xfId="0" applyFont="1" applyFill="1" applyBorder="1" applyAlignment="1">
      <alignment horizontal="center" vertical="center" wrapText="1"/>
    </xf>
    <xf numFmtId="0" fontId="30" fillId="25" borderId="9" xfId="0" applyFont="1" applyFill="1" applyBorder="1" applyAlignment="1">
      <alignment horizontal="center" vertical="center" wrapText="1"/>
    </xf>
    <xf numFmtId="0" fontId="2" fillId="7" borderId="11" xfId="0" applyFont="1" applyFill="1" applyBorder="1" applyAlignment="1">
      <alignment vertical="center" wrapText="1"/>
    </xf>
    <xf numFmtId="0" fontId="0" fillId="0" borderId="0" xfId="0" applyAlignment="1">
      <alignment horizontal="right" vertical="center" wrapText="1"/>
    </xf>
    <xf numFmtId="0" fontId="8" fillId="0" borderId="0" xfId="0" applyFont="1" applyAlignment="1" applyProtection="1">
      <alignment horizontal="left" vertical="top" wrapText="1"/>
      <protection locked="0"/>
    </xf>
    <xf numFmtId="0" fontId="36" fillId="0" borderId="0" xfId="0" applyFont="1" applyAlignment="1">
      <alignment horizontal="center" vertical="top" wrapText="1"/>
    </xf>
    <xf numFmtId="0" fontId="69" fillId="0" borderId="0" xfId="0" applyFont="1" applyAlignment="1">
      <alignment horizontal="center" vertical="center"/>
    </xf>
    <xf numFmtId="0" fontId="75" fillId="0" borderId="0" xfId="0" applyFont="1" applyAlignment="1">
      <alignment horizontal="right" vertical="center"/>
    </xf>
    <xf numFmtId="0" fontId="52" fillId="0" borderId="0" xfId="0" applyFont="1" applyAlignment="1" applyProtection="1">
      <alignment horizontal="center" vertical="center"/>
      <protection locked="0"/>
    </xf>
    <xf numFmtId="0" fontId="0" fillId="0" borderId="0" xfId="0" applyAlignment="1">
      <alignment vertical="center"/>
    </xf>
    <xf numFmtId="0" fontId="71" fillId="18" borderId="0" xfId="0" applyFont="1" applyFill="1" applyAlignment="1">
      <alignment horizontal="center" vertical="center" wrapText="1"/>
    </xf>
    <xf numFmtId="0" fontId="41" fillId="3" borderId="7" xfId="0" applyFont="1" applyFill="1" applyBorder="1" applyAlignment="1">
      <alignment horizontal="left" vertical="center"/>
    </xf>
    <xf numFmtId="0" fontId="41" fillId="3" borderId="8" xfId="0" applyFont="1" applyFill="1" applyBorder="1" applyAlignment="1">
      <alignment horizontal="left" vertical="center"/>
    </xf>
    <xf numFmtId="0" fontId="41" fillId="3" borderId="9" xfId="0" applyFont="1" applyFill="1" applyBorder="1" applyAlignment="1">
      <alignment horizontal="left" vertical="center"/>
    </xf>
    <xf numFmtId="0" fontId="41" fillId="3" borderId="1" xfId="0" applyFont="1" applyFill="1" applyBorder="1" applyAlignment="1">
      <alignment horizontal="left" vertical="center"/>
    </xf>
    <xf numFmtId="0" fontId="23" fillId="19" borderId="0" xfId="0" applyFont="1" applyFill="1" applyAlignment="1">
      <alignment horizontal="justify" vertical="center" wrapText="1"/>
    </xf>
    <xf numFmtId="0" fontId="16" fillId="19" borderId="0" xfId="0" applyFont="1" applyFill="1" applyAlignment="1">
      <alignment vertical="top" wrapText="1"/>
    </xf>
    <xf numFmtId="0" fontId="73" fillId="0" borderId="0" xfId="0" applyFont="1" applyAlignment="1">
      <alignment horizontal="center"/>
    </xf>
    <xf numFmtId="0" fontId="66" fillId="0" borderId="0" xfId="0" applyFont="1" applyAlignment="1">
      <alignment horizontal="justify" vertical="center" wrapText="1"/>
    </xf>
    <xf numFmtId="0" fontId="82" fillId="7" borderId="0" xfId="0" applyFont="1" applyFill="1" applyAlignment="1">
      <alignment horizontal="left" vertical="center" wrapText="1"/>
    </xf>
    <xf numFmtId="0" fontId="46" fillId="0" borderId="0" xfId="1" applyFont="1" applyAlignment="1" applyProtection="1">
      <alignment vertical="center" wrapText="1"/>
      <protection locked="0"/>
    </xf>
    <xf numFmtId="0" fontId="26" fillId="0" borderId="0" xfId="0" applyFont="1" applyAlignment="1">
      <alignment horizontal="left" vertical="center" wrapText="1"/>
    </xf>
    <xf numFmtId="0" fontId="53" fillId="7" borderId="0" xfId="0" applyFont="1" applyFill="1" applyAlignment="1" applyProtection="1">
      <alignment horizontal="left" vertical="center"/>
      <protection locked="0"/>
    </xf>
    <xf numFmtId="0" fontId="53" fillId="7" borderId="0" xfId="0" applyFont="1" applyFill="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pplyProtection="1">
      <alignment vertical="top" wrapText="1"/>
      <protection locked="0"/>
    </xf>
    <xf numFmtId="0" fontId="2" fillId="0" borderId="0" xfId="0" applyFont="1" applyAlignment="1">
      <alignment horizontal="left" vertical="top" wrapText="1"/>
    </xf>
    <xf numFmtId="0" fontId="74" fillId="7" borderId="7" xfId="0" applyFont="1" applyFill="1" applyBorder="1" applyAlignment="1">
      <alignment horizontal="center" vertical="center" wrapText="1"/>
    </xf>
    <xf numFmtId="0" fontId="74" fillId="7" borderId="8" xfId="0" applyFont="1" applyFill="1" applyBorder="1" applyAlignment="1">
      <alignment horizontal="center" vertical="center" wrapText="1"/>
    </xf>
    <xf numFmtId="0" fontId="74" fillId="7" borderId="9" xfId="0" applyFont="1" applyFill="1" applyBorder="1" applyAlignment="1">
      <alignment horizontal="center" vertical="center" wrapText="1"/>
    </xf>
    <xf numFmtId="0" fontId="31" fillId="7" borderId="19" xfId="0" applyFont="1" applyFill="1" applyBorder="1" applyAlignment="1">
      <alignment horizontal="left" vertical="center"/>
    </xf>
    <xf numFmtId="0" fontId="31" fillId="7" borderId="20" xfId="0" applyFont="1" applyFill="1" applyBorder="1" applyAlignment="1">
      <alignment horizontal="left" vertical="center"/>
    </xf>
    <xf numFmtId="0" fontId="31" fillId="7" borderId="21" xfId="0" applyFont="1" applyFill="1" applyBorder="1" applyAlignment="1">
      <alignment horizontal="left" vertical="center"/>
    </xf>
    <xf numFmtId="0" fontId="2" fillId="0" borderId="0" xfId="0" applyFont="1" applyAlignment="1" applyProtection="1">
      <alignment vertical="top" wrapText="1"/>
      <protection locked="0"/>
    </xf>
    <xf numFmtId="0" fontId="46" fillId="0" borderId="0" xfId="1" applyFont="1" applyAlignment="1">
      <alignment vertical="center" wrapText="1"/>
    </xf>
    <xf numFmtId="0" fontId="32" fillId="21" borderId="10" xfId="0" applyFont="1" applyFill="1" applyBorder="1" applyAlignment="1">
      <alignment vertical="center"/>
    </xf>
    <xf numFmtId="0" fontId="32" fillId="21" borderId="11" xfId="0" applyFont="1" applyFill="1" applyBorder="1" applyAlignment="1">
      <alignment vertical="center"/>
    </xf>
    <xf numFmtId="0" fontId="32" fillId="21" borderId="13" xfId="0" applyFont="1" applyFill="1" applyBorder="1" applyAlignment="1">
      <alignment vertical="center"/>
    </xf>
    <xf numFmtId="0" fontId="32" fillId="7" borderId="5" xfId="0" applyFont="1" applyFill="1" applyBorder="1" applyAlignment="1">
      <alignment vertical="center"/>
    </xf>
    <xf numFmtId="0" fontId="32" fillId="7" borderId="6" xfId="0" applyFont="1" applyFill="1" applyBorder="1" applyAlignment="1">
      <alignment vertical="center"/>
    </xf>
    <xf numFmtId="0" fontId="32" fillId="0" borderId="0" xfId="0" applyFont="1" applyAlignment="1">
      <alignment vertical="center" wrapText="1"/>
    </xf>
    <xf numFmtId="0" fontId="0" fillId="0" borderId="0" xfId="0" applyAlignment="1" applyProtection="1">
      <alignment wrapText="1"/>
      <protection locked="0"/>
    </xf>
    <xf numFmtId="0" fontId="64" fillId="7" borderId="0" xfId="1" applyFont="1" applyFill="1" applyAlignment="1" applyProtection="1">
      <alignment vertical="center" wrapText="1"/>
      <protection locked="0"/>
    </xf>
    <xf numFmtId="0" fontId="2" fillId="0" borderId="0" xfId="0" applyFont="1" applyAlignment="1">
      <alignment horizontal="left" vertical="center"/>
    </xf>
    <xf numFmtId="0" fontId="2" fillId="0" borderId="0" xfId="0" applyFont="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0" fontId="0" fillId="0" borderId="0" xfId="0" applyAlignment="1" applyProtection="1">
      <alignment horizontal="center" vertical="center" wrapText="1"/>
      <protection locked="0"/>
    </xf>
    <xf numFmtId="0" fontId="76" fillId="7" borderId="0" xfId="0" applyFont="1" applyFill="1" applyAlignment="1">
      <alignment horizontal="center" vertical="center" wrapText="1"/>
    </xf>
    <xf numFmtId="0" fontId="54" fillId="7" borderId="0" xfId="0" applyFont="1" applyFill="1" applyAlignment="1">
      <alignment horizontal="center" vertical="center" wrapText="1"/>
    </xf>
    <xf numFmtId="0" fontId="29" fillId="27" borderId="0" xfId="0" applyFont="1" applyFill="1" applyAlignment="1">
      <alignment vertical="center"/>
    </xf>
    <xf numFmtId="0" fontId="2" fillId="0" borderId="0" xfId="0" applyFont="1" applyAlignment="1">
      <alignment horizontal="center" vertical="center" wrapText="1"/>
    </xf>
    <xf numFmtId="0" fontId="2" fillId="7" borderId="0" xfId="0" applyFont="1" applyFill="1" applyAlignment="1">
      <alignment horizontal="center" vertical="center" wrapText="1"/>
    </xf>
  </cellXfs>
  <cellStyles count="3">
    <cellStyle name="Hyperlink" xfId="1" builtinId="8"/>
    <cellStyle name="Normal" xfId="0" builtinId="0"/>
    <cellStyle name="Percent" xfId="2" builtinId="5"/>
  </cellStyles>
  <dxfs count="965">
    <dxf>
      <fill>
        <patternFill>
          <bgColor rgb="FFFFFF00"/>
        </patternFill>
      </fill>
    </dxf>
    <dxf>
      <fill>
        <patternFill>
          <bgColor rgb="FFFFFF00"/>
        </patternFill>
      </fill>
    </dxf>
    <dxf>
      <font>
        <b/>
        <i val="0"/>
        <color theme="0"/>
      </font>
      <fill>
        <patternFill>
          <bgColor rgb="FF0070C0"/>
        </patternFill>
      </fill>
    </dxf>
    <dxf>
      <font>
        <b/>
        <i val="0"/>
        <color theme="0"/>
      </font>
      <fill>
        <patternFill>
          <bgColor rgb="FF0070C0"/>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ill>
        <patternFill>
          <bgColor theme="4" tint="0.79998168889431442"/>
        </patternFill>
      </fill>
    </dxf>
    <dxf>
      <font>
        <b/>
        <i val="0"/>
        <color theme="0"/>
      </font>
      <fill>
        <patternFill>
          <bgColor rgb="FF0070C0"/>
        </patternFill>
      </fill>
    </dxf>
    <dxf>
      <fill>
        <patternFill>
          <bgColor theme="4" tint="0.79998168889431442"/>
        </patternFill>
      </fill>
    </dxf>
    <dxf>
      <fill>
        <patternFill>
          <bgColor rgb="FFFFFF00"/>
        </patternFill>
      </fill>
    </dxf>
    <dxf>
      <font>
        <color rgb="FFC00000"/>
      </font>
      <fill>
        <patternFill>
          <bgColor rgb="FFFFFF00"/>
        </patternFill>
      </fill>
    </dxf>
    <dxf>
      <font>
        <color rgb="FFC00000"/>
      </font>
      <fill>
        <patternFill>
          <bgColor rgb="FFFFFF00"/>
        </patternFill>
      </fill>
    </dxf>
    <dxf>
      <font>
        <b/>
        <i val="0"/>
        <color theme="0"/>
      </font>
      <fill>
        <patternFill>
          <bgColor rgb="FF0070C0"/>
        </patternFill>
      </fill>
    </dxf>
    <dxf>
      <fill>
        <patternFill>
          <bgColor rgb="FF0070C0"/>
        </patternFill>
      </fill>
    </dxf>
    <dxf>
      <font>
        <b/>
        <i val="0"/>
        <color theme="0"/>
      </font>
      <fill>
        <patternFill>
          <bgColor rgb="FF0070C0"/>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ill>
        <patternFill>
          <bgColor theme="4" tint="0.79998168889431442"/>
        </patternFill>
      </fill>
    </dxf>
    <dxf>
      <fill>
        <patternFill>
          <bgColor theme="4" tint="0.79998168889431442"/>
        </patternFill>
      </fill>
    </dxf>
    <dxf>
      <fill>
        <patternFill>
          <bgColor rgb="FFFFFF00"/>
        </patternFill>
      </fill>
    </dxf>
    <dxf>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ill>
        <patternFill>
          <bgColor theme="4" tint="0.79998168889431442"/>
        </patternFill>
      </fill>
    </dxf>
    <dxf>
      <font>
        <b/>
        <i val="0"/>
        <color theme="8" tint="-0.24994659260841701"/>
      </font>
      <fill>
        <patternFill>
          <bgColor theme="7" tint="0.79998168889431442"/>
        </patternFill>
      </fill>
    </dxf>
    <dxf>
      <fill>
        <patternFill>
          <bgColor theme="4"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ill>
        <patternFill>
          <bgColor theme="4" tint="0.79998168889431442"/>
        </patternFill>
      </fill>
    </dxf>
    <dxf>
      <fill>
        <patternFill>
          <bgColor rgb="FFFFFF00"/>
        </patternFill>
      </fill>
    </dxf>
    <dxf>
      <fill>
        <patternFill>
          <bgColor rgb="FFFFFF00"/>
        </patternFill>
      </fill>
    </dxf>
    <dxf>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ill>
        <patternFill>
          <bgColor theme="4" tint="0.79998168889431442"/>
        </patternFill>
      </fill>
    </dxf>
    <dxf>
      <font>
        <b/>
        <i val="0"/>
        <color theme="8" tint="-0.24994659260841701"/>
      </font>
      <fill>
        <patternFill>
          <bgColor theme="7" tint="0.79998168889431442"/>
        </patternFill>
      </fill>
    </dxf>
    <dxf>
      <fill>
        <patternFill>
          <bgColor theme="4"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ill>
        <patternFill>
          <bgColor theme="4" tint="0.79998168889431442"/>
        </patternFill>
      </fill>
    </dxf>
    <dxf>
      <fill>
        <patternFill>
          <bgColor rgb="FFFFFF00"/>
        </patternFill>
      </fill>
    </dxf>
    <dxf>
      <fill>
        <patternFill>
          <bgColor rgb="FFFFFF00"/>
        </patternFill>
      </fill>
    </dxf>
    <dxf>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b/>
        <i val="0"/>
        <color theme="8" tint="-0.24994659260841701"/>
      </font>
      <fill>
        <patternFill>
          <bgColor theme="7" tint="0.79998168889431442"/>
        </patternFill>
      </fill>
    </dxf>
    <dxf>
      <fill>
        <patternFill>
          <bgColor theme="4"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ill>
        <patternFill>
          <bgColor rgb="FFFFFF00"/>
        </patternFill>
      </fill>
    </dxf>
    <dxf>
      <font>
        <b/>
        <i val="0"/>
        <color theme="8" tint="-0.24994659260841701"/>
      </font>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ill>
        <patternFill>
          <bgColor theme="4"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b/>
        <i val="0"/>
        <color rgb="FF0070C0"/>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ill>
        <patternFill>
          <bgColor theme="4" tint="0.79998168889431442"/>
        </patternFill>
      </fill>
    </dxf>
    <dxf>
      <fill>
        <patternFill>
          <bgColor theme="4"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border>
        <left/>
        <right/>
        <top/>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FF9B9B"/>
        </patternFill>
      </fill>
    </dxf>
    <dxf>
      <fill>
        <patternFill>
          <bgColor rgb="FFFF9B9B"/>
        </patternFill>
      </fill>
    </dxf>
    <dxf>
      <fill>
        <patternFill>
          <bgColor rgb="FF92D050"/>
        </patternFill>
      </fill>
    </dxf>
    <dxf>
      <fill>
        <patternFill>
          <bgColor rgb="FF92D050"/>
        </patternFill>
      </fill>
    </dxf>
    <dxf>
      <fill>
        <patternFill>
          <bgColor rgb="FFFF9B9B"/>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92D050"/>
        </patternFill>
      </fill>
    </dxf>
    <dxf>
      <fill>
        <patternFill>
          <bgColor rgb="FFFF9B9B"/>
        </patternFill>
      </fill>
    </dxf>
    <dxf>
      <font>
        <color rgb="FFFF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FF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92D050"/>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59996337778862885"/>
        </patternFill>
      </fill>
      <border>
        <left style="thin">
          <color auto="1"/>
        </left>
        <right style="thin">
          <color auto="1"/>
        </right>
        <top style="thin">
          <color auto="1"/>
        </top>
        <bottom style="thin">
          <color auto="1"/>
        </bottom>
        <vertical/>
        <horizontal/>
      </border>
    </dxf>
    <dxf>
      <font>
        <color rgb="FFC00000"/>
      </font>
      <fill>
        <patternFill>
          <bgColor rgb="FFFFFF00"/>
        </patternFill>
      </fill>
    </dxf>
    <dxf>
      <fill>
        <patternFill>
          <bgColor rgb="FFFF9B9B"/>
        </patternFill>
      </fill>
    </dxf>
    <dxf>
      <fill>
        <patternFill>
          <bgColor rgb="FF92D050"/>
        </patternFill>
      </fill>
    </dxf>
    <dxf>
      <font>
        <color rgb="FFFF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266196"/>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266196"/>
        </patternFill>
      </fill>
    </dxf>
    <dxf>
      <font>
        <b/>
        <i val="0"/>
        <color rgb="FF0070C0"/>
      </font>
      <fill>
        <patternFill>
          <bgColor rgb="FFE8D9F3"/>
        </patternFill>
      </fill>
      <border>
        <left style="thin">
          <color auto="1"/>
        </left>
        <right style="thin">
          <color auto="1"/>
        </right>
        <top style="thin">
          <color auto="1"/>
        </top>
        <bottom style="thin">
          <color auto="1"/>
        </bottom>
      </border>
    </dxf>
    <dxf>
      <fill>
        <patternFill>
          <bgColor rgb="FFFF9B9B"/>
        </patternFill>
      </fill>
    </dxf>
    <dxf>
      <font>
        <color rgb="FFC00000"/>
      </font>
      <fill>
        <patternFill>
          <bgColor rgb="FFFFFF00"/>
        </patternFill>
      </fill>
    </dxf>
    <dxf>
      <fill>
        <patternFill>
          <bgColor rgb="FF92D050"/>
        </patternFill>
      </fill>
    </dxf>
    <dxf>
      <font>
        <color rgb="FFC0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rgb="FF92D050"/>
        </patternFill>
      </fill>
    </dxf>
    <dxf>
      <font>
        <color rgb="FFC00000"/>
      </font>
      <fill>
        <patternFill>
          <bgColor rgb="FFFFFF00"/>
        </patternFill>
      </fill>
    </dxf>
    <dxf>
      <fill>
        <patternFill>
          <bgColor rgb="FFFF9B9B"/>
        </patternFill>
      </fill>
    </dxf>
    <dxf>
      <font>
        <color rgb="FFFF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rgb="FF0070C0"/>
      </font>
      <fill>
        <patternFill>
          <bgColor rgb="FF92D050"/>
        </patternFill>
      </fill>
      <border>
        <left style="thin">
          <color auto="1"/>
        </left>
        <right style="thin">
          <color auto="1"/>
        </right>
        <top style="thin">
          <color auto="1"/>
        </top>
        <bottom style="thin">
          <color auto="1"/>
        </bottom>
        <vertical/>
        <horizontal/>
      </border>
    </dxf>
    <dxf>
      <fill>
        <patternFill>
          <bgColor rgb="FFFFC7CE"/>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vertical/>
        <horizontal/>
      </border>
    </dxf>
    <dxf>
      <fill>
        <patternFill>
          <bgColor rgb="FFECDFF5"/>
        </patternFill>
      </fill>
      <border>
        <left style="thin">
          <color auto="1"/>
        </left>
        <right style="thin">
          <color auto="1"/>
        </right>
        <top style="thin">
          <color auto="1"/>
        </top>
        <bottom style="thin">
          <color auto="1"/>
        </bottom>
        <vertical/>
        <horizontal/>
      </border>
    </dxf>
    <dxf>
      <fill>
        <patternFill>
          <bgColor rgb="FFFF9B9B"/>
        </patternFill>
      </fill>
    </dxf>
    <dxf>
      <font>
        <color rgb="FFC00000"/>
      </font>
      <fill>
        <patternFill>
          <bgColor rgb="FFFFFF00"/>
        </patternFill>
      </fill>
    </dxf>
    <dxf>
      <fill>
        <patternFill>
          <bgColor rgb="FF92D05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797"/>
        </patternFill>
      </fill>
    </dxf>
    <dxf>
      <fill>
        <patternFill>
          <bgColor rgb="FF92D050"/>
        </patternFill>
      </fill>
    </dxf>
    <dxf>
      <font>
        <color rgb="FFC00000"/>
      </font>
      <fill>
        <patternFill>
          <bgColor rgb="FFFFFF00"/>
        </patternFill>
      </fill>
    </dxf>
    <dxf>
      <font>
        <color rgb="FFC00000"/>
      </font>
      <fill>
        <patternFill>
          <bgColor rgb="FFFFFF00"/>
        </patternFill>
      </fill>
    </dxf>
    <dxf>
      <fill>
        <patternFill>
          <bgColor theme="9" tint="0.79998168889431442"/>
        </patternFill>
      </fill>
    </dxf>
    <dxf>
      <fill>
        <patternFill>
          <bgColor theme="9" tint="0.79998168889431442"/>
        </patternFill>
      </fill>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rgb="FFFF9B9B"/>
        </patternFill>
      </fill>
    </dxf>
    <dxf>
      <font>
        <color rgb="FFC00000"/>
      </font>
      <fill>
        <patternFill>
          <bgColor rgb="FFFFFF00"/>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border>
        <left/>
        <right/>
        <top/>
        <bottom/>
      </border>
    </dxf>
    <dxf>
      <fill>
        <patternFill>
          <bgColor theme="7" tint="0.79998168889431442"/>
        </patternFill>
      </fill>
      <border>
        <left style="thin">
          <color auto="1"/>
        </left>
        <right style="thin">
          <color auto="1"/>
        </right>
      </border>
    </dxf>
    <dxf>
      <font>
        <b/>
        <i val="0"/>
      </font>
      <fill>
        <patternFill>
          <bgColor rgb="FFFFB9B9"/>
        </patternFill>
      </fill>
      <border>
        <left style="thin">
          <color auto="1"/>
        </left>
        <right style="thin">
          <color auto="1"/>
        </right>
        <top/>
        <bottom/>
        <vertical/>
        <horizontal/>
      </border>
    </dxf>
    <dxf>
      <fill>
        <patternFill>
          <bgColor theme="7" tint="0.79998168889431442"/>
        </patternFill>
      </fill>
      <border>
        <left style="thin">
          <color auto="1"/>
        </left>
        <right style="thin">
          <color auto="1"/>
        </right>
        <top style="thin">
          <color auto="1"/>
        </top>
        <bottom/>
      </border>
    </dxf>
    <dxf>
      <fill>
        <patternFill>
          <bgColor rgb="FFE8D9F3"/>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ont>
        <b/>
        <i val="0"/>
        <color rgb="FF0070C0"/>
      </font>
      <fill>
        <patternFill>
          <bgColor rgb="FFF2DCDB"/>
        </patternFill>
      </fill>
    </dxf>
    <dxf>
      <fill>
        <patternFill>
          <bgColor theme="4" tint="0.59996337778862885"/>
        </patternFill>
      </fill>
      <border>
        <left style="thin">
          <color auto="1"/>
        </left>
        <right style="thin">
          <color auto="1"/>
        </right>
        <top style="thin">
          <color auto="1"/>
        </top>
        <bottom style="thin">
          <color auto="1"/>
        </bottom>
        <vertical/>
        <horizontal/>
      </border>
    </dxf>
    <dxf>
      <font>
        <color rgb="FFC00000"/>
      </font>
      <fill>
        <patternFill>
          <bgColor rgb="FFFFFF00"/>
        </patternFill>
      </fill>
    </dxf>
    <dxf>
      <fill>
        <patternFill>
          <bgColor theme="3" tint="0.79998168889431442"/>
        </patternFill>
      </fill>
    </dxf>
    <dxf>
      <fill>
        <patternFill>
          <bgColor theme="3" tint="0.79998168889431442"/>
        </patternFill>
      </fill>
    </dxf>
    <dxf>
      <font>
        <b/>
        <i val="0"/>
        <color rgb="FFC00000"/>
      </font>
      <fill>
        <patternFill>
          <bgColor rgb="FFFCFEB4"/>
        </patternFill>
      </fill>
    </dxf>
    <dxf>
      <fill>
        <patternFill>
          <bgColor theme="3" tint="0.79998168889431442"/>
        </patternFill>
      </fill>
    </dxf>
    <dxf>
      <fill>
        <patternFill>
          <bgColor theme="3" tint="0.79998168889431442"/>
        </patternFill>
      </fill>
    </dxf>
    <dxf>
      <fill>
        <patternFill>
          <bgColor rgb="FFEFE5F7"/>
        </patternFill>
      </fill>
    </dxf>
    <dxf>
      <fill>
        <patternFill>
          <bgColor theme="3" tint="0.79998168889431442"/>
        </patternFill>
      </fill>
    </dxf>
    <dxf>
      <fill>
        <patternFill>
          <bgColor theme="3" tint="0.79998168889431442"/>
        </patternFill>
      </fill>
    </dxf>
    <dxf>
      <font>
        <color rgb="FFFF0000"/>
      </font>
      <fill>
        <patternFill>
          <bgColor rgb="FFFFFF00"/>
        </patternFill>
      </fill>
    </dxf>
    <dxf>
      <font>
        <color rgb="FFFF0000"/>
      </font>
      <fill>
        <patternFill>
          <bgColor rgb="FFFFFF00"/>
        </patternFill>
      </fill>
    </dxf>
    <dxf>
      <fill>
        <patternFill>
          <bgColor rgb="FFFFFF00"/>
        </patternFill>
      </fill>
    </dxf>
    <dxf>
      <fill>
        <patternFill>
          <bgColor rgb="FFFFFF00"/>
        </patternFill>
      </fill>
    </dxf>
    <dxf>
      <font>
        <b/>
        <i val="0"/>
        <color theme="0"/>
      </font>
      <fill>
        <patternFill>
          <bgColor rgb="FF0070C0"/>
        </patternFill>
      </fill>
    </dxf>
    <dxf>
      <font>
        <b/>
        <i val="0"/>
        <color theme="0"/>
      </font>
      <fill>
        <patternFill>
          <bgColor rgb="FF0070C0"/>
        </patternFill>
      </fill>
    </dxf>
    <dxf>
      <font>
        <b/>
        <i val="0"/>
        <color theme="0"/>
      </font>
      <fill>
        <patternFill>
          <bgColor rgb="FF0070C0"/>
        </patternFill>
      </fill>
    </dxf>
    <dxf>
      <fill>
        <patternFill>
          <bgColor theme="4" tint="0.79998168889431442"/>
        </patternFill>
      </fill>
    </dxf>
    <dxf>
      <font>
        <b/>
        <i val="0"/>
        <color theme="0"/>
      </font>
      <fill>
        <patternFill>
          <bgColor rgb="FF0070C0"/>
        </patternFill>
      </fill>
    </dxf>
    <dxf>
      <fill>
        <patternFill>
          <bgColor theme="4" tint="0.79998168889431442"/>
        </patternFill>
      </fill>
    </dxf>
    <dxf>
      <fill>
        <patternFill>
          <bgColor rgb="FFFFFF00"/>
        </patternFill>
      </fill>
    </dxf>
    <dxf>
      <font>
        <color rgb="FFC00000"/>
      </font>
      <fill>
        <patternFill>
          <bgColor rgb="FFFFFF00"/>
        </patternFill>
      </fill>
    </dxf>
    <dxf>
      <font>
        <color rgb="FFC00000"/>
      </font>
      <fill>
        <patternFill>
          <bgColor rgb="FFFFFF00"/>
        </patternFill>
      </fill>
    </dxf>
    <dxf>
      <font>
        <b/>
        <i val="0"/>
        <color theme="0"/>
      </font>
      <fill>
        <patternFill>
          <bgColor rgb="FF0070C0"/>
        </patternFill>
      </fill>
    </dxf>
    <dxf>
      <fill>
        <patternFill>
          <bgColor theme="4" tint="0.79998168889431442"/>
        </patternFill>
      </fill>
    </dxf>
    <dxf>
      <fill>
        <patternFill>
          <bgColor theme="4" tint="0.79998168889431442"/>
        </patternFill>
      </fill>
    </dxf>
    <dxf>
      <font>
        <color rgb="FFC00000"/>
      </font>
      <fill>
        <patternFill>
          <bgColor rgb="FFFFFF00"/>
        </patternFill>
      </fill>
    </dxf>
    <dxf>
      <font>
        <color rgb="FFC00000"/>
      </font>
      <fill>
        <patternFill>
          <bgColor rgb="FFFFFF00"/>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C00000"/>
      </font>
      <fill>
        <patternFill>
          <bgColor rgb="FFFFFF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FF00"/>
        </patternFill>
      </fill>
    </dxf>
    <dxf>
      <fill>
        <patternFill>
          <bgColor rgb="FFFFFF00"/>
        </patternFill>
      </fill>
    </dxf>
    <dxf>
      <fill>
        <patternFill>
          <bgColor theme="4" tint="0.79998168889431442"/>
        </patternFill>
      </fill>
    </dxf>
    <dxf>
      <font>
        <b/>
        <i val="0"/>
        <color theme="8" tint="-0.24994659260841701"/>
      </font>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4" tint="0.79998168889431442"/>
        </patternFill>
      </fill>
    </dxf>
    <dxf>
      <fill>
        <patternFill>
          <bgColor rgb="FFFFFF00"/>
        </patternFill>
      </fill>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C0000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C00000"/>
      </font>
      <fill>
        <patternFill>
          <bgColor rgb="FFFFFF00"/>
        </patternFill>
      </fill>
    </dxf>
    <dxf>
      <font>
        <color rgb="FFC0000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rgb="FFC00000"/>
      </font>
      <fill>
        <patternFill>
          <bgColor rgb="FFFFFF00"/>
        </patternFill>
      </fill>
    </dxf>
    <dxf>
      <font>
        <b/>
        <i val="0"/>
        <color rgb="FFC00000"/>
      </font>
      <fill>
        <patternFill>
          <bgColor rgb="FFFFFF00"/>
        </patternFill>
      </fill>
    </dxf>
    <dxf>
      <font>
        <b/>
        <i val="0"/>
        <color rgb="FFC0000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92D050"/>
        </patternFill>
      </fill>
    </dxf>
    <dxf>
      <fill>
        <patternFill>
          <bgColor rgb="FFFF9B9B"/>
        </patternFill>
      </fill>
    </dxf>
    <dxf>
      <fill>
        <patternFill>
          <bgColor rgb="FF92D050"/>
        </patternFill>
      </fill>
    </dxf>
    <dxf>
      <fill>
        <patternFill>
          <bgColor rgb="FFFF9B9B"/>
        </patternFill>
      </fill>
    </dxf>
    <dxf>
      <fill>
        <patternFill>
          <bgColor rgb="FF92D050"/>
        </patternFill>
      </fill>
    </dxf>
    <dxf>
      <fill>
        <patternFill>
          <bgColor rgb="FFFF9B9B"/>
        </patternFill>
      </fill>
    </dxf>
    <dxf>
      <fill>
        <patternFill>
          <bgColor rgb="FF92D050"/>
        </patternFill>
      </fill>
    </dxf>
    <dxf>
      <fill>
        <patternFill>
          <bgColor rgb="FFFF9B9B"/>
        </patternFill>
      </fill>
    </dxf>
    <dxf>
      <fill>
        <patternFill>
          <bgColor rgb="FFFF9B9B"/>
        </patternFill>
      </fill>
    </dxf>
    <dxf>
      <fill>
        <patternFill>
          <bgColor rgb="FF92D05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b/>
        <i val="0"/>
        <color theme="0"/>
      </font>
      <fill>
        <patternFill>
          <bgColor theme="9" tint="-0.24994659260841701"/>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b/>
        <i val="0"/>
        <color theme="0"/>
      </font>
      <fill>
        <patternFill>
          <bgColor theme="9" tint="-0.24994659260841701"/>
        </patternFill>
      </fill>
    </dxf>
    <dxf>
      <fill>
        <patternFill>
          <bgColor rgb="FFFF9B9B"/>
        </patternFill>
      </fill>
    </dxf>
    <dxf>
      <fill>
        <patternFill>
          <bgColor rgb="FF92D050"/>
        </patternFill>
      </fill>
    </dxf>
    <dxf>
      <font>
        <color rgb="FFC00000"/>
      </font>
      <fill>
        <patternFill>
          <bgColor rgb="FFFFFF00"/>
        </patternFill>
      </fill>
    </dxf>
    <dxf>
      <font>
        <b/>
        <i val="0"/>
        <color rgb="FFC00000"/>
      </font>
      <fill>
        <patternFill>
          <bgColor rgb="FFFFFF00"/>
        </patternFill>
      </fill>
    </dxf>
    <dxf>
      <font>
        <color rgb="FFC00000"/>
      </font>
      <fill>
        <patternFill>
          <bgColor rgb="FFFFFF00"/>
        </patternFill>
      </fill>
    </dxf>
    <dxf>
      <font>
        <b/>
        <i val="0"/>
        <color theme="0"/>
      </font>
      <fill>
        <patternFill>
          <bgColor theme="9" tint="-0.24994659260841701"/>
        </patternFill>
      </fill>
    </dxf>
    <dxf>
      <font>
        <color rgb="FFC00000"/>
      </font>
      <fill>
        <patternFill>
          <bgColor rgb="FFFFFF00"/>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FF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FF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92D050"/>
        </patternFill>
      </fill>
    </dxf>
    <dxf>
      <fill>
        <patternFill>
          <bgColor theme="2" tint="-9.9948118533890809E-2"/>
        </patternFill>
      </fill>
    </dxf>
    <dxf>
      <fill>
        <patternFill>
          <bgColor rgb="FFFFFF00"/>
        </patternFill>
      </fill>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ont>
        <color rgb="FFC00000"/>
      </font>
      <fill>
        <patternFill>
          <bgColor rgb="FFFFFF00"/>
        </patternFill>
      </fill>
    </dxf>
    <dxf>
      <fill>
        <patternFill>
          <bgColor rgb="FF92D050"/>
        </patternFill>
      </fill>
    </dxf>
    <dxf>
      <font>
        <color rgb="FFFF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266196"/>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b/>
        <i val="0"/>
        <color rgb="FFC00000"/>
      </font>
      <fill>
        <patternFill>
          <bgColor rgb="FFFFFF00"/>
        </patternFill>
      </fill>
    </dxf>
    <dxf>
      <font>
        <b/>
        <i val="0"/>
        <color rgb="FFC00000"/>
      </font>
      <fill>
        <patternFill>
          <bgColor rgb="FFFFFF00"/>
        </patternFill>
      </fill>
    </dxf>
    <dxf>
      <font>
        <b/>
        <i val="0"/>
        <color theme="0"/>
      </font>
      <fill>
        <patternFill>
          <bgColor rgb="FF266196"/>
        </patternFill>
      </fill>
    </dxf>
    <dxf>
      <font>
        <b/>
        <i val="0"/>
        <color theme="0"/>
      </font>
      <fill>
        <patternFill>
          <bgColor rgb="FF266196"/>
        </patternFill>
      </fill>
    </dxf>
    <dxf>
      <font>
        <b/>
        <i val="0"/>
        <color rgb="FFC00000"/>
      </font>
      <fill>
        <patternFill>
          <bgColor rgb="FFFFFF00"/>
        </patternFill>
      </fill>
    </dxf>
    <dxf>
      <font>
        <b/>
        <i val="0"/>
        <color rgb="FFC00000"/>
      </font>
      <fill>
        <patternFill>
          <bgColor rgb="FFFFFF00"/>
        </patternFill>
      </fill>
    </dxf>
    <dxf>
      <font>
        <b/>
        <i val="0"/>
        <color theme="0"/>
      </font>
      <fill>
        <patternFill>
          <bgColor rgb="FF266196"/>
        </patternFill>
      </fill>
    </dxf>
    <dxf>
      <font>
        <b/>
        <i val="0"/>
        <color theme="0"/>
      </font>
      <fill>
        <patternFill>
          <bgColor rgb="FF266196"/>
        </patternFill>
      </fill>
    </dxf>
    <dxf>
      <fill>
        <patternFill>
          <bgColor theme="5" tint="0.39994506668294322"/>
        </patternFill>
      </fill>
    </dxf>
    <dxf>
      <font>
        <b/>
        <i val="0"/>
        <color rgb="FFC00000"/>
      </font>
      <fill>
        <patternFill>
          <bgColor rgb="FFFFFF00"/>
        </patternFill>
      </fill>
    </dxf>
    <dxf>
      <font>
        <b/>
        <i val="0"/>
      </font>
      <fill>
        <patternFill>
          <bgColor rgb="FFFFFF00"/>
        </patternFill>
      </fill>
    </dxf>
    <dxf>
      <fill>
        <patternFill>
          <bgColor rgb="FFFDEFE7"/>
        </patternFill>
      </fill>
    </dxf>
    <dxf>
      <fill>
        <patternFill>
          <bgColor rgb="FFFDEFE7"/>
        </patternFill>
      </fill>
    </dxf>
    <dxf>
      <fill>
        <patternFill>
          <bgColor rgb="FFFDEFE7"/>
        </patternFill>
      </fill>
    </dxf>
    <dxf>
      <fill>
        <patternFill>
          <bgColor rgb="FFFDEFE7"/>
        </patternFill>
      </fill>
    </dxf>
    <dxf>
      <fill>
        <patternFill>
          <bgColor rgb="FFFDEFE7"/>
        </patternFill>
      </fill>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FFFF00"/>
        </patternFill>
      </fill>
    </dxf>
    <dxf>
      <font>
        <color rgb="FF0070C0"/>
      </font>
      <fill>
        <patternFill>
          <bgColor theme="5" tint="0.79998168889431442"/>
        </patternFill>
      </fill>
      <border>
        <left/>
        <right/>
        <top/>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FF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auto="1"/>
      </font>
      <border>
        <left style="thin">
          <color auto="1"/>
        </left>
        <right style="thin">
          <color auto="1"/>
        </right>
        <top style="thin">
          <color auto="1"/>
        </top>
        <bottom style="thin">
          <color auto="1"/>
        </bottom>
        <vertical/>
        <horizontal/>
      </border>
    </dxf>
    <dxf>
      <font>
        <color rgb="FFC00000"/>
      </font>
      <fill>
        <patternFill>
          <bgColor rgb="FFFFFF00"/>
        </patternFill>
      </fill>
    </dxf>
    <dxf>
      <fill>
        <patternFill>
          <bgColor rgb="FFEDFBFD"/>
        </patternFill>
      </fill>
      <border>
        <left style="thin">
          <color auto="1"/>
        </left>
        <right style="thin">
          <color auto="1"/>
        </right>
        <top style="thin">
          <color auto="1"/>
        </top>
        <bottom style="thin">
          <color auto="1"/>
        </bottom>
      </border>
    </dxf>
    <dxf>
      <font>
        <b/>
        <i val="0"/>
        <color theme="5" tint="-0.24994659260841701"/>
      </font>
      <fill>
        <patternFill>
          <bgColor theme="0" tint="-4.9989318521683403E-2"/>
        </patternFill>
      </fill>
      <border>
        <left style="thin">
          <color auto="1"/>
        </left>
        <right style="thin">
          <color auto="1"/>
        </right>
        <top style="thin">
          <color auto="1"/>
        </top>
        <bottom style="thin">
          <color auto="1"/>
        </bottom>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FFFF00"/>
        </patternFill>
      </fill>
    </dxf>
    <dxf>
      <font>
        <color rgb="FF0070C0"/>
      </font>
      <fill>
        <patternFill>
          <bgColor rgb="FFEFF6FB"/>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92D050"/>
        </patternFill>
      </fill>
    </dxf>
    <dxf>
      <fill>
        <patternFill>
          <bgColor rgb="FFFF9797"/>
        </patternFill>
      </fill>
    </dxf>
    <dxf>
      <font>
        <color rgb="FFC00000"/>
      </font>
      <fill>
        <patternFill>
          <bgColor rgb="FFFFFF00"/>
        </patternFill>
      </fill>
    </dxf>
    <dxf>
      <font>
        <color rgb="FFC00000"/>
      </font>
      <fill>
        <patternFill>
          <bgColor rgb="FFFFFF00"/>
        </patternFill>
      </fill>
    </dxf>
    <dxf>
      <fill>
        <patternFill>
          <bgColor theme="0"/>
        </patternFill>
      </fill>
      <border>
        <left/>
        <right/>
        <top/>
        <bottom/>
        <vertical/>
        <horizontal/>
      </border>
    </dxf>
    <dxf>
      <font>
        <b/>
        <i val="0"/>
        <color theme="5" tint="-0.24994659260841701"/>
      </font>
      <fill>
        <patternFill>
          <bgColor rgb="FFF2F2F2"/>
        </patternFill>
      </fill>
      <border>
        <left style="thin">
          <color auto="1"/>
        </left>
        <right style="thin">
          <color auto="1"/>
        </right>
        <top style="thin">
          <color auto="1"/>
        </top>
        <bottom style="thin">
          <color auto="1"/>
        </bottom>
        <vertical/>
        <horizontal/>
      </border>
    </dxf>
    <dxf>
      <font>
        <b/>
        <i val="0"/>
        <color rgb="FF0070C0"/>
      </font>
      <fill>
        <patternFill>
          <bgColor rgb="FFEFF6FB"/>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rgb="FF0070C0"/>
      </font>
      <fill>
        <patternFill>
          <bgColor theme="0" tint="-4.9989318521683403E-2"/>
        </patternFill>
      </fill>
      <border>
        <left style="thin">
          <color auto="1"/>
        </left>
        <right style="thin">
          <color auto="1"/>
        </right>
        <top style="thin">
          <color auto="1"/>
        </top>
        <bottom style="thin">
          <color auto="1"/>
        </bottom>
      </border>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ont>
        <color rgb="FFC00000"/>
      </font>
      <fill>
        <patternFill>
          <bgColor rgb="FFFFFF00"/>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FF00"/>
        </patternFill>
      </fill>
    </dxf>
    <dxf>
      <fill>
        <patternFill>
          <bgColor rgb="FFFF9B9B"/>
        </patternFill>
      </fill>
    </dxf>
    <dxf>
      <fill>
        <patternFill>
          <bgColor rgb="FF92D050"/>
        </patternFill>
      </fill>
    </dxf>
    <dxf>
      <font>
        <b/>
        <i val="0"/>
        <color theme="0"/>
      </font>
      <fill>
        <patternFill>
          <bgColor theme="9" tint="-0.24994659260841701"/>
        </patternFill>
      </fill>
    </dxf>
    <dxf>
      <font>
        <b/>
        <i val="0"/>
        <color theme="0"/>
      </font>
      <fill>
        <patternFill>
          <bgColor theme="9" tint="-0.24994659260841701"/>
        </patternFill>
      </fill>
    </dxf>
    <dxf>
      <font>
        <b/>
        <i val="0"/>
        <color theme="0"/>
      </font>
      <fill>
        <patternFill>
          <bgColor theme="9" tint="-0.24994659260841701"/>
        </patternFill>
      </fill>
    </dxf>
    <dxf>
      <font>
        <color rgb="FF0070C0"/>
      </font>
      <fill>
        <patternFill>
          <bgColor theme="5" tint="0.79998168889431442"/>
        </patternFill>
      </fill>
      <border>
        <left/>
        <right/>
        <top/>
        <bottom/>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ill>
        <patternFill>
          <bgColor rgb="FFFFFF00"/>
        </patternFill>
      </fill>
    </dxf>
    <dxf>
      <font>
        <color rgb="FFC00000"/>
      </font>
      <fill>
        <patternFill>
          <bgColor rgb="FFFFFF00"/>
        </patternFill>
      </fill>
    </dxf>
    <dxf>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border>
        <left/>
        <right/>
        <top/>
        <bottom/>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dxf>
    <dxf>
      <fill>
        <patternFill>
          <bgColor rgb="FFEFF6FB"/>
        </patternFill>
      </fill>
    </dxf>
    <dxf>
      <fill>
        <patternFill>
          <bgColor rgb="FFEFF6FB"/>
        </patternFill>
      </fill>
    </dxf>
    <dxf>
      <fill>
        <patternFill>
          <bgColor rgb="FFEFF6FB"/>
        </patternFill>
      </fill>
    </dxf>
    <dxf>
      <fill>
        <patternFill>
          <bgColor rgb="FFEFF6FB"/>
        </patternFill>
      </fill>
    </dxf>
    <dxf>
      <fill>
        <patternFill>
          <bgColor rgb="FFFFFF00"/>
        </patternFill>
      </fill>
    </dxf>
    <dxf>
      <fill>
        <patternFill>
          <bgColor rgb="FFEFF6FB"/>
        </patternFill>
      </fill>
    </dxf>
    <dxf>
      <fill>
        <patternFill>
          <bgColor theme="7" tint="0.59996337778862885"/>
        </patternFill>
      </fill>
    </dxf>
    <dxf>
      <fill>
        <patternFill>
          <bgColor theme="7" tint="0.59996337778862885"/>
        </patternFill>
      </fill>
      <border>
        <left/>
        <right/>
        <top/>
        <bottom/>
        <vertical/>
        <horizontal/>
      </border>
    </dxf>
    <dxf>
      <fill>
        <patternFill>
          <bgColor rgb="FFFDEFE7"/>
        </patternFill>
      </fill>
    </dxf>
    <dxf>
      <fill>
        <patternFill>
          <bgColor rgb="FFFDEFE7"/>
        </patternFill>
      </fill>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ont>
        <b/>
        <i val="0"/>
        <color rgb="FF0070C0"/>
      </font>
      <fill>
        <patternFill>
          <bgColor rgb="FFF2DCDB"/>
        </patternFill>
      </fill>
    </dxf>
    <dxf>
      <font>
        <b/>
        <i val="0"/>
        <color rgb="FF0070C0"/>
      </font>
      <fill>
        <patternFill>
          <bgColor rgb="FFF2DCDB"/>
        </patternFill>
      </fill>
    </dxf>
    <dxf>
      <fill>
        <patternFill>
          <bgColor theme="0" tint="-0.14996795556505021"/>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right/>
        <top/>
        <bottom/>
      </border>
    </dxf>
    <dxf>
      <fill>
        <patternFill>
          <bgColor rgb="FFFFF0C5"/>
        </patternFill>
      </fill>
    </dxf>
    <dxf>
      <fill>
        <patternFill>
          <bgColor rgb="FFE8DAFA"/>
        </patternFill>
      </fill>
    </dxf>
    <dxf>
      <fill>
        <patternFill>
          <bgColor rgb="FFFFF0C5"/>
        </patternFill>
      </fill>
    </dxf>
    <dxf>
      <fill>
        <patternFill>
          <bgColor rgb="FFE8DAFA"/>
        </patternFill>
      </fill>
    </dxf>
    <dxf>
      <font>
        <b/>
        <i val="0"/>
        <color rgb="FFC00000"/>
      </font>
      <fill>
        <patternFill>
          <bgColor theme="0" tint="-0.14996795556505021"/>
        </patternFill>
      </fill>
    </dxf>
    <dxf>
      <font>
        <b/>
        <i/>
        <color theme="0"/>
      </font>
      <fill>
        <patternFill patternType="solid">
          <bgColor theme="8" tint="-0.24994659260841701"/>
        </patternFill>
      </fill>
    </dxf>
    <dxf>
      <font>
        <b/>
        <i val="0"/>
        <color auto="1"/>
      </font>
      <fill>
        <patternFill>
          <bgColor rgb="FFFDEFE7"/>
        </patternFill>
      </fill>
    </dxf>
    <dxf>
      <font>
        <b/>
        <i val="0"/>
        <color auto="1"/>
      </font>
      <fill>
        <patternFill>
          <bgColor rgb="FFFDEFE7"/>
        </patternFill>
      </fill>
    </dxf>
    <dxf>
      <font>
        <b/>
        <i val="0"/>
        <color auto="1"/>
      </font>
      <fill>
        <patternFill>
          <bgColor rgb="FFFDEFE7"/>
        </patternFill>
      </fill>
    </dxf>
    <dxf>
      <font>
        <b/>
        <i val="0"/>
        <color auto="1"/>
      </font>
      <fill>
        <patternFill>
          <bgColor rgb="FFFDEFE7"/>
        </patternFill>
      </fill>
    </dxf>
    <dxf>
      <font>
        <b/>
        <i val="0"/>
        <color auto="1"/>
      </font>
      <fill>
        <patternFill>
          <bgColor rgb="FFFDEFE7"/>
        </patternFill>
      </fill>
    </dxf>
    <dxf>
      <font>
        <b/>
        <i val="0"/>
      </font>
      <fill>
        <patternFill>
          <bgColor theme="5" tint="0.79998168889431442"/>
        </patternFill>
      </fill>
    </dxf>
    <dxf>
      <font>
        <color rgb="FFC00000"/>
      </font>
      <fill>
        <patternFill>
          <bgColor rgb="FFFFFF00"/>
        </patternFill>
      </fill>
    </dxf>
    <dxf>
      <font>
        <color rgb="FFC00000"/>
      </font>
      <fill>
        <patternFill>
          <bgColor rgb="FFFFFF00"/>
        </patternFill>
      </fill>
    </dxf>
    <dxf>
      <fill>
        <patternFill>
          <bgColor rgb="FFFFF0C5"/>
        </patternFill>
      </fill>
    </dxf>
    <dxf>
      <fill>
        <patternFill>
          <bgColor rgb="FFE8DAFA"/>
        </patternFill>
      </fill>
    </dxf>
    <dxf>
      <fill>
        <patternFill>
          <bgColor rgb="FFFFF0C5"/>
        </patternFill>
      </fill>
    </dxf>
    <dxf>
      <fill>
        <patternFill>
          <bgColor rgb="FFE8DAFA"/>
        </patternFill>
      </fill>
    </dxf>
    <dxf>
      <font>
        <color rgb="FFC00000"/>
      </font>
      <fill>
        <patternFill>
          <bgColor rgb="FFFFFF00"/>
        </patternFill>
      </fill>
    </dxf>
    <dxf>
      <fill>
        <patternFill>
          <bgColor rgb="FFFFC7CE"/>
        </patternFill>
      </fill>
    </dxf>
    <dxf>
      <fill>
        <patternFill>
          <bgColor rgb="FF92D050"/>
        </patternFill>
      </fill>
    </dxf>
    <dxf>
      <fill>
        <patternFill>
          <bgColor theme="5" tint="0.79998168889431442"/>
        </patternFill>
      </fill>
    </dxf>
    <dxf>
      <fill>
        <patternFill>
          <bgColor rgb="FFD6F7FA"/>
        </patternFill>
      </fill>
    </dxf>
    <dxf>
      <fill>
        <patternFill>
          <bgColor theme="9" tint="0.79998168889431442"/>
        </patternFill>
      </fill>
    </dxf>
    <dxf>
      <fill>
        <patternFill>
          <bgColor rgb="FFE8D9F3"/>
        </patternFill>
      </fill>
    </dxf>
    <dxf>
      <fill>
        <patternFill>
          <bgColor rgb="FFFFC7CE"/>
        </patternFill>
      </fill>
    </dxf>
    <dxf>
      <fill>
        <patternFill>
          <bgColor rgb="FF92D050"/>
        </patternFill>
      </fill>
    </dxf>
    <dxf>
      <fill>
        <patternFill>
          <bgColor rgb="FFFFC7CE"/>
        </patternFill>
      </fill>
    </dxf>
    <dxf>
      <fill>
        <patternFill>
          <bgColor rgb="FF92D050"/>
        </patternFill>
      </fill>
    </dxf>
    <dxf>
      <fill>
        <patternFill>
          <bgColor rgb="FFEFE5F7"/>
        </patternFill>
      </fill>
    </dxf>
    <dxf>
      <font>
        <color rgb="FFFF0000"/>
      </font>
      <fill>
        <patternFill>
          <bgColor rgb="FFFFFF00"/>
        </patternFill>
      </fill>
    </dxf>
    <dxf>
      <font>
        <color rgb="FFFF0000"/>
      </font>
      <fill>
        <patternFill>
          <bgColor rgb="FFFFFF00"/>
        </patternFill>
      </fill>
    </dxf>
  </dxfs>
  <tableStyles count="0" defaultTableStyle="TableStyleMedium2" defaultPivotStyle="PivotStyleLight16"/>
  <colors>
    <mruColors>
      <color rgb="FFEFF6FB"/>
      <color rgb="FFC65911"/>
      <color rgb="FFFCFEB4"/>
      <color rgb="FFC3CBE7"/>
      <color rgb="FF1E284E"/>
      <color rgb="FF99A6D7"/>
      <color rgb="FFECF9FB"/>
      <color rgb="FFFFF0C5"/>
      <color rgb="FFF2DCDB"/>
      <color rgb="FFFDE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228600</xdr:colOff>
      <xdr:row>0</xdr:row>
      <xdr:rowOff>123824</xdr:rowOff>
    </xdr:from>
    <xdr:to>
      <xdr:col>13</xdr:col>
      <xdr:colOff>410822</xdr:colOff>
      <xdr:row>2</xdr:row>
      <xdr:rowOff>9524</xdr:rowOff>
    </xdr:to>
    <xdr:pic>
      <xdr:nvPicPr>
        <xdr:cNvPr id="4" name="Picture 9" descr="CAAHEP logo">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097" t="14703" r="20572" b="20456"/>
        <a:stretch/>
      </xdr:blipFill>
      <xdr:spPr bwMode="auto">
        <a:xfrm>
          <a:off x="7886700" y="123824"/>
          <a:ext cx="791822" cy="962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152401</xdr:colOff>
      <xdr:row>0</xdr:row>
      <xdr:rowOff>95250</xdr:rowOff>
    </xdr:from>
    <xdr:to>
      <xdr:col>2</xdr:col>
      <xdr:colOff>1222807</xdr:colOff>
      <xdr:row>1</xdr:row>
      <xdr:rowOff>790575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1" y="95250"/>
          <a:ext cx="1070406" cy="885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228600</xdr:colOff>
      <xdr:row>0</xdr:row>
      <xdr:rowOff>123824</xdr:rowOff>
    </xdr:from>
    <xdr:to>
      <xdr:col>13</xdr:col>
      <xdr:colOff>410822</xdr:colOff>
      <xdr:row>2</xdr:row>
      <xdr:rowOff>9524</xdr:rowOff>
    </xdr:to>
    <xdr:pic>
      <xdr:nvPicPr>
        <xdr:cNvPr id="2" name="Picture 9" descr="CAAHEP logo">
          <a:extLst>
            <a:ext uri="{FF2B5EF4-FFF2-40B4-BE49-F238E27FC236}">
              <a16:creationId xmlns:a16="http://schemas.microsoft.com/office/drawing/2014/main" id="{00000000-0008-0000-01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097" t="14703" r="20572" b="20456"/>
        <a:stretch/>
      </xdr:blipFill>
      <xdr:spPr bwMode="auto">
        <a:xfrm>
          <a:off x="9915525" y="123824"/>
          <a:ext cx="944222" cy="87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152400</xdr:colOff>
      <xdr:row>0</xdr:row>
      <xdr:rowOff>114300</xdr:rowOff>
    </xdr:from>
    <xdr:to>
      <xdr:col>2</xdr:col>
      <xdr:colOff>1222806</xdr:colOff>
      <xdr:row>2</xdr:row>
      <xdr:rowOff>9525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114300"/>
          <a:ext cx="1070406" cy="885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aemsp.org/resource-library" TargetMode="External"/><Relationship Id="rId13" Type="http://schemas.openxmlformats.org/officeDocument/2006/relationships/comments" Target="../comments1.xml"/><Relationship Id="rId3" Type="http://schemas.openxmlformats.org/officeDocument/2006/relationships/hyperlink" Target="http://coaemsp.org/Policy_Procedures.htm" TargetMode="External"/><Relationship Id="rId7" Type="http://schemas.openxmlformats.org/officeDocument/2006/relationships/hyperlink" Target="https://coaemsp.org/resource-library" TargetMode="External"/><Relationship Id="rId12" Type="http://schemas.openxmlformats.org/officeDocument/2006/relationships/vmlDrawing" Target="../drawings/vmlDrawing1.vml"/><Relationship Id="rId2" Type="http://schemas.openxmlformats.org/officeDocument/2006/relationships/hyperlink" Target="http://coaemsp.org/Policy_Procedures.htm" TargetMode="External"/><Relationship Id="rId1" Type="http://schemas.openxmlformats.org/officeDocument/2006/relationships/printerSettings" Target="../printerSettings/printerSettings1.bin"/><Relationship Id="rId6" Type="http://schemas.openxmlformats.org/officeDocument/2006/relationships/hyperlink" Target="https://coaemsp.org/resource-library" TargetMode="External"/><Relationship Id="rId11" Type="http://schemas.openxmlformats.org/officeDocument/2006/relationships/drawing" Target="../drawings/drawing1.xml"/><Relationship Id="rId5" Type="http://schemas.openxmlformats.org/officeDocument/2006/relationships/hyperlink" Target="mailto:annualreports@coaemsp.org" TargetMode="External"/><Relationship Id="rId10" Type="http://schemas.openxmlformats.org/officeDocument/2006/relationships/printerSettings" Target="../printerSettings/printerSettings2.bin"/><Relationship Id="rId4" Type="http://schemas.openxmlformats.org/officeDocument/2006/relationships/hyperlink" Target="http://coaemsp.org/Evaluations.htm" TargetMode="External"/><Relationship Id="rId9" Type="http://schemas.openxmlformats.org/officeDocument/2006/relationships/hyperlink" Target="http://coaemsp.org/Evaluations.ht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annualreports@coaemsp.org"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4" tint="-0.249977111117893"/>
  </sheetPr>
  <dimension ref="A1:CP419"/>
  <sheetViews>
    <sheetView showGridLines="0" tabSelected="1" topLeftCell="A92" zoomScale="80" zoomScaleNormal="80" workbookViewId="0">
      <selection activeCell="G308" sqref="G308"/>
    </sheetView>
  </sheetViews>
  <sheetFormatPr defaultRowHeight="14.5" x14ac:dyDescent="0.35"/>
  <cols>
    <col min="1" max="1" width="4.7265625" style="10" customWidth="1"/>
    <col min="2" max="2" width="4.36328125" customWidth="1"/>
    <col min="3" max="3" width="21.81640625" customWidth="1"/>
    <col min="4" max="4" width="20.81640625" customWidth="1"/>
    <col min="5" max="6" width="11.36328125" customWidth="1"/>
    <col min="7" max="7" width="13.36328125" customWidth="1"/>
    <col min="8" max="13" width="11.36328125" customWidth="1"/>
    <col min="14" max="14" width="14" customWidth="1"/>
    <col min="15" max="15" width="11.36328125" customWidth="1"/>
    <col min="16" max="16" width="11.36328125" style="3" customWidth="1"/>
    <col min="17" max="21" width="11.36328125" customWidth="1"/>
    <col min="22" max="22" width="10.81640625" customWidth="1"/>
    <col min="23" max="27" width="10.6328125" customWidth="1"/>
    <col min="28" max="28" width="11.7265625" customWidth="1"/>
  </cols>
  <sheetData>
    <row r="1" spans="1:32" x14ac:dyDescent="0.35">
      <c r="A1" s="157"/>
    </row>
    <row r="2" spans="1:32" ht="63" customHeight="1" x14ac:dyDescent="0.35">
      <c r="D2" s="465" t="s">
        <v>2</v>
      </c>
      <c r="E2" s="465"/>
      <c r="F2" s="465"/>
      <c r="G2" s="465"/>
      <c r="H2" s="465"/>
      <c r="I2" s="465"/>
      <c r="J2" s="465"/>
      <c r="K2" s="465"/>
      <c r="L2" s="465"/>
      <c r="R2" s="3"/>
      <c r="S2" s="3"/>
      <c r="T2" s="3"/>
      <c r="U2" s="3"/>
      <c r="V2" s="3"/>
      <c r="W2" s="3"/>
      <c r="X2" s="3"/>
      <c r="Y2" s="3"/>
      <c r="Z2" s="3"/>
      <c r="AA2" s="3"/>
      <c r="AB2" s="3"/>
      <c r="AC2" s="3"/>
      <c r="AD2" s="3"/>
      <c r="AE2" s="10"/>
      <c r="AF2" s="10"/>
    </row>
    <row r="3" spans="1:32" ht="10.5" customHeight="1" x14ac:dyDescent="0.35">
      <c r="D3" s="1"/>
      <c r="R3" s="3"/>
      <c r="S3" s="3"/>
      <c r="T3" s="3"/>
      <c r="U3" s="3"/>
      <c r="V3" s="3"/>
      <c r="W3" s="3"/>
      <c r="X3" s="3"/>
      <c r="Y3" s="3"/>
      <c r="Z3" s="3"/>
      <c r="AA3" s="3"/>
      <c r="AB3" s="3"/>
      <c r="AC3" s="3"/>
      <c r="AD3" s="3"/>
      <c r="AE3" s="10"/>
      <c r="AF3" s="10"/>
    </row>
    <row r="4" spans="1:32" ht="39" customHeight="1" x14ac:dyDescent="0.35">
      <c r="B4" s="323"/>
      <c r="C4" s="323"/>
      <c r="D4" s="323">
        <v>2023</v>
      </c>
      <c r="E4" s="323" t="s">
        <v>81</v>
      </c>
      <c r="F4" s="323"/>
      <c r="G4" s="323"/>
      <c r="H4" s="323"/>
      <c r="I4" s="323"/>
      <c r="J4" s="323"/>
      <c r="K4" s="323"/>
      <c r="L4" s="323"/>
      <c r="M4" s="323"/>
      <c r="N4" s="323"/>
      <c r="Q4" s="10"/>
      <c r="R4" s="3"/>
      <c r="S4" s="3"/>
      <c r="T4" s="3"/>
      <c r="U4" s="3"/>
      <c r="V4" s="3"/>
      <c r="W4" s="3"/>
      <c r="X4" s="3"/>
      <c r="Y4" s="3"/>
      <c r="Z4" s="3"/>
      <c r="AA4" s="3"/>
      <c r="AB4" s="3"/>
      <c r="AC4" s="3"/>
      <c r="AD4" s="3"/>
      <c r="AE4" s="10"/>
      <c r="AF4" s="10"/>
    </row>
    <row r="5" spans="1:32" x14ac:dyDescent="0.35">
      <c r="A5" s="472">
        <v>1</v>
      </c>
      <c r="B5" s="472"/>
      <c r="C5" s="472"/>
      <c r="D5" s="472"/>
      <c r="E5" s="472"/>
      <c r="F5" s="472"/>
    </row>
    <row r="6" spans="1:32" ht="12.75" customHeight="1" x14ac:dyDescent="0.35">
      <c r="Q6" s="10"/>
      <c r="R6" s="3"/>
      <c r="S6" s="3"/>
      <c r="T6" s="3"/>
      <c r="U6" s="3"/>
      <c r="V6" s="3"/>
      <c r="W6" s="3"/>
      <c r="X6" s="3"/>
      <c r="Y6" s="3"/>
      <c r="Z6" s="3"/>
      <c r="AA6" s="3"/>
      <c r="AB6" s="3"/>
      <c r="AC6" s="3"/>
      <c r="AD6" s="3"/>
      <c r="AE6" s="10"/>
      <c r="AF6" s="10"/>
    </row>
    <row r="7" spans="1:32" ht="48" customHeight="1" x14ac:dyDescent="0.35">
      <c r="B7" s="466" t="str">
        <f>"CoAEMSP Letter of Review (LoR) / CAAHEP Accredited (Initial and Continuing) programs must complete the"&amp;" CoAEMSP Annual Report for Paramedic level students/graduates ONLY and submit THIS Excel annual report template which represents all cohorts that have graduated in " &amp;D4&amp; ".  No PDF or paper copy versions of this report will be accepted."</f>
        <v>CoAEMSP Letter of Review (LoR) / CAAHEP Accredited (Initial and Continuing) programs must complete the CoAEMSP Annual Report for Paramedic level students/graduates ONLY and submit THIS Excel annual report template which represents all cohorts that have graduated in 2023.  No PDF or paper copy versions of this report will be accepted.</v>
      </c>
      <c r="C7" s="466"/>
      <c r="D7" s="466"/>
      <c r="E7" s="466"/>
      <c r="F7" s="466"/>
      <c r="G7" s="466"/>
      <c r="H7" s="466"/>
      <c r="I7" s="466"/>
      <c r="J7" s="466"/>
      <c r="K7" s="466"/>
      <c r="L7" s="466"/>
      <c r="M7" s="466"/>
      <c r="N7" s="466"/>
      <c r="O7" s="121"/>
    </row>
    <row r="8" spans="1:32" ht="39.75" customHeight="1" x14ac:dyDescent="0.35">
      <c r="B8" s="473" t="str">
        <f>"~ Remember ~ 
The filing deadline is May 15, " &amp;D4+2</f>
        <v>~ Remember ~ 
The filing deadline is May 15, 2025</v>
      </c>
      <c r="C8" s="474"/>
      <c r="D8" s="474"/>
      <c r="E8" s="474"/>
      <c r="F8" s="474"/>
      <c r="G8" s="474"/>
      <c r="H8" s="474"/>
      <c r="I8" s="474"/>
      <c r="J8" s="474"/>
      <c r="K8" s="474"/>
      <c r="L8" s="474"/>
      <c r="M8" s="474"/>
      <c r="N8" s="474"/>
    </row>
    <row r="9" spans="1:32" ht="5.25" customHeight="1" x14ac:dyDescent="0.35"/>
    <row r="10" spans="1:32" ht="44.25" customHeight="1" x14ac:dyDescent="0.35">
      <c r="B10" s="479" t="s">
        <v>3</v>
      </c>
      <c r="C10" s="479"/>
      <c r="D10" s="479"/>
      <c r="E10" s="479"/>
      <c r="F10" s="479"/>
      <c r="G10" s="479"/>
      <c r="H10" s="479"/>
      <c r="I10" s="479"/>
      <c r="J10" s="479"/>
      <c r="K10" s="479"/>
      <c r="L10" s="480" t="s">
        <v>63</v>
      </c>
      <c r="M10" s="480"/>
      <c r="N10" s="480"/>
    </row>
    <row r="11" spans="1:32" ht="14.5" customHeight="1" x14ac:dyDescent="0.35">
      <c r="D11" s="6"/>
      <c r="E11" s="6"/>
      <c r="G11" s="6"/>
      <c r="H11" s="6"/>
      <c r="I11" s="6"/>
      <c r="J11" s="6"/>
      <c r="K11" s="6"/>
      <c r="R11" s="156"/>
      <c r="S11" s="10"/>
    </row>
    <row r="12" spans="1:32" ht="15" customHeight="1" x14ac:dyDescent="0.35">
      <c r="C12" s="71"/>
      <c r="D12" s="7"/>
      <c r="E12" s="477" t="s">
        <v>1</v>
      </c>
      <c r="F12" s="478"/>
      <c r="G12" s="478"/>
      <c r="H12" s="478"/>
      <c r="I12" s="478"/>
      <c r="J12" s="478"/>
      <c r="K12" s="478"/>
      <c r="L12" s="478"/>
      <c r="M12" s="478"/>
      <c r="N12" s="71"/>
      <c r="R12" s="156"/>
      <c r="S12" s="10"/>
      <c r="T12" s="156"/>
    </row>
    <row r="13" spans="1:32" x14ac:dyDescent="0.35">
      <c r="R13" s="156"/>
      <c r="S13" s="10"/>
      <c r="T13" s="156"/>
    </row>
    <row r="14" spans="1:32" ht="12.75" customHeight="1" x14ac:dyDescent="0.35">
      <c r="Q14" s="3"/>
      <c r="R14" s="3"/>
      <c r="S14" s="10"/>
      <c r="T14" s="3"/>
      <c r="U14" s="3"/>
      <c r="V14" s="3"/>
      <c r="W14" s="3"/>
      <c r="X14" s="3"/>
      <c r="Y14" s="3"/>
      <c r="Z14" s="3"/>
      <c r="AA14" s="3"/>
      <c r="AB14" s="3"/>
      <c r="AC14" s="3"/>
      <c r="AD14" s="3"/>
      <c r="AE14" s="10"/>
      <c r="AF14" s="10"/>
    </row>
    <row r="15" spans="1:32" ht="12.75" customHeight="1" x14ac:dyDescent="0.35">
      <c r="Q15" s="3"/>
      <c r="R15" s="3" t="s">
        <v>55</v>
      </c>
      <c r="S15" s="3">
        <f>IF(D4&lt;&gt;"",14,14)</f>
        <v>14</v>
      </c>
      <c r="T15" s="3"/>
      <c r="U15" s="3"/>
      <c r="V15" s="3"/>
      <c r="W15" s="3"/>
      <c r="X15" s="3"/>
      <c r="Y15" s="3"/>
      <c r="Z15" s="3"/>
      <c r="AA15" s="3"/>
      <c r="AB15" s="3"/>
      <c r="AC15" s="3"/>
      <c r="AD15" s="3"/>
      <c r="AE15" s="10"/>
      <c r="AF15" s="10"/>
    </row>
    <row r="16" spans="1:32" ht="25.5" customHeight="1" x14ac:dyDescent="0.35">
      <c r="B16" s="2"/>
      <c r="C16" s="12" t="s">
        <v>4</v>
      </c>
      <c r="D16" s="88">
        <v>600000</v>
      </c>
      <c r="E16" s="11" t="s">
        <v>7</v>
      </c>
      <c r="O16" s="166" t="str">
        <f>IF(P16=1, "&lt;===", "")</f>
        <v/>
      </c>
      <c r="P16" s="167" t="str">
        <f>IF(AND(D16="", D411&lt;&gt;""), 1, "")</f>
        <v/>
      </c>
      <c r="Q16" s="3"/>
      <c r="R16" s="3" t="s">
        <v>49</v>
      </c>
      <c r="S16" s="3" t="e">
        <f>IF(AND(N73&lt;70%,N73&lt;&gt;0%),27,14)</f>
        <v>#VALUE!</v>
      </c>
      <c r="T16" s="3"/>
    </row>
    <row r="17" spans="2:22" x14ac:dyDescent="0.35">
      <c r="Q17" s="3"/>
      <c r="R17" s="3" t="s">
        <v>50</v>
      </c>
      <c r="S17" s="3">
        <f>IF(AND(N96&lt;70%,N96&lt;&gt;0%),27,14)</f>
        <v>14</v>
      </c>
      <c r="T17" s="3"/>
    </row>
    <row r="18" spans="2:22" ht="25.5" customHeight="1" x14ac:dyDescent="0.35">
      <c r="B18" s="2"/>
      <c r="C18" s="12" t="s">
        <v>148</v>
      </c>
      <c r="D18" s="467" t="s">
        <v>157</v>
      </c>
      <c r="E18" s="468"/>
      <c r="F18" s="468"/>
      <c r="G18" s="468"/>
      <c r="H18" s="468"/>
      <c r="I18" s="468"/>
      <c r="J18" s="468"/>
      <c r="K18" s="468"/>
      <c r="L18" s="468"/>
      <c r="M18" s="469"/>
      <c r="O18" s="166" t="str">
        <f>IF(P18=1, "&lt;===", "")</f>
        <v/>
      </c>
      <c r="P18" s="167" t="str">
        <f>IF(AND(D18="", D411&lt;&gt;""), 1, "")</f>
        <v/>
      </c>
      <c r="Q18" s="280"/>
      <c r="R18" s="3" t="s">
        <v>51</v>
      </c>
      <c r="S18" s="3">
        <f>IF(AND(N118&lt;70%,N118&lt;&gt;0%),27,14)</f>
        <v>14</v>
      </c>
      <c r="T18" s="3"/>
    </row>
    <row r="19" spans="2:22" x14ac:dyDescent="0.35">
      <c r="Q19" s="3"/>
      <c r="R19" s="3" t="s">
        <v>52</v>
      </c>
      <c r="S19" s="3">
        <f>IF(AND(N156&lt;100%,N156&lt;&gt;0%),32,14)</f>
        <v>14</v>
      </c>
      <c r="T19" s="3"/>
    </row>
    <row r="20" spans="2:22" ht="18.75" customHeight="1" x14ac:dyDescent="0.35">
      <c r="B20" s="2"/>
      <c r="C20" s="13" t="s">
        <v>5</v>
      </c>
      <c r="D20" s="467" t="s">
        <v>160</v>
      </c>
      <c r="E20" s="469"/>
      <c r="F20" s="470" t="s">
        <v>6</v>
      </c>
      <c r="G20" s="471"/>
      <c r="H20" s="72" t="s">
        <v>158</v>
      </c>
      <c r="O20" s="166" t="str">
        <f>IF(P20=1, "&lt;===", "")</f>
        <v/>
      </c>
      <c r="P20" s="167" t="str">
        <f>IF(OR(AND(D20="", D411&lt;&gt;""), AND(H20="",D411&lt;&gt;"")), 1, "")</f>
        <v/>
      </c>
      <c r="Q20" s="3"/>
      <c r="R20" s="3" t="s">
        <v>53</v>
      </c>
      <c r="S20" s="3">
        <f>IF(AND(N194&lt;100%,N194&lt;&gt;0%),32,14)</f>
        <v>14</v>
      </c>
      <c r="T20" s="3"/>
    </row>
    <row r="21" spans="2:22" x14ac:dyDescent="0.35">
      <c r="Q21" s="3"/>
      <c r="R21" s="3" t="s">
        <v>54</v>
      </c>
      <c r="S21" s="3">
        <v>14</v>
      </c>
      <c r="T21" s="3"/>
    </row>
    <row r="22" spans="2:22" x14ac:dyDescent="0.35">
      <c r="Q22" s="3"/>
      <c r="R22" s="3"/>
      <c r="S22" s="3"/>
      <c r="T22" s="3"/>
    </row>
    <row r="23" spans="2:22" ht="30.75" customHeight="1" x14ac:dyDescent="0.35">
      <c r="C23" s="12" t="str">
        <f>"    Accreditation Status: 
as of 1/1/" &amp;D4 +2</f>
        <v xml:space="preserve">    Accreditation Status: 
as of 1/1/2025</v>
      </c>
      <c r="D23" s="475" t="s">
        <v>159</v>
      </c>
      <c r="E23" s="475"/>
      <c r="F23" s="475"/>
      <c r="O23" s="166" t="str">
        <f>IF(P23=1, "&lt;===", "")</f>
        <v/>
      </c>
      <c r="P23" s="167" t="str">
        <f>IF(AND(D23="Please Select", D411&lt;&gt;""), 1, "")</f>
        <v/>
      </c>
      <c r="Q23" s="3"/>
      <c r="R23" s="3" t="s">
        <v>56</v>
      </c>
      <c r="S23" s="3">
        <f>IF(G44&lt;&gt;"",14,14)</f>
        <v>14</v>
      </c>
      <c r="T23" s="3"/>
    </row>
    <row r="24" spans="2:22" x14ac:dyDescent="0.35">
      <c r="Q24" s="3"/>
      <c r="R24" s="3" t="s">
        <v>57</v>
      </c>
      <c r="S24" s="3">
        <f>IF(G257&lt;&gt;"",14,14)</f>
        <v>14</v>
      </c>
      <c r="T24" s="3"/>
    </row>
    <row r="25" spans="2:22" ht="51.75" customHeight="1" x14ac:dyDescent="0.35">
      <c r="C25" s="485" t="str">
        <f>"Direct website URL (Link) to the 
Paramedic educational program's 
"&amp;D4&amp;" published outcomes:"</f>
        <v>Direct website URL (Link) to the 
Paramedic educational program's 
2023 published outcomes:</v>
      </c>
      <c r="D25" s="485"/>
      <c r="E25" s="481" t="s">
        <v>161</v>
      </c>
      <c r="F25" s="482"/>
      <c r="G25" s="482"/>
      <c r="H25" s="482"/>
      <c r="I25" s="482"/>
      <c r="J25" s="482"/>
      <c r="K25" s="482"/>
      <c r="L25" s="482"/>
      <c r="M25" s="482"/>
      <c r="N25" s="482"/>
      <c r="O25" s="169" t="str">
        <f>IF(P25=1, "&lt;===", "")</f>
        <v/>
      </c>
      <c r="P25" s="171" t="str">
        <f>IF(AND(E25="", D411&lt;&gt;""), 1, "")</f>
        <v/>
      </c>
      <c r="Q25" s="10"/>
      <c r="R25" s="3"/>
      <c r="S25" s="3"/>
      <c r="T25" s="3"/>
    </row>
    <row r="27" spans="2:22" ht="15" customHeight="1" x14ac:dyDescent="0.35">
      <c r="B27" s="483" t="s">
        <v>138</v>
      </c>
      <c r="C27" s="483"/>
      <c r="D27" s="476" t="s">
        <v>61</v>
      </c>
      <c r="E27" s="476"/>
      <c r="F27" s="476"/>
      <c r="G27" s="476"/>
      <c r="H27" s="476"/>
      <c r="I27" s="476"/>
      <c r="J27" s="476"/>
      <c r="K27" s="476"/>
      <c r="L27" s="476"/>
      <c r="M27" s="476"/>
      <c r="N27" s="476"/>
    </row>
    <row r="28" spans="2:22" ht="22.5" customHeight="1" x14ac:dyDescent="0.35">
      <c r="B28" s="483"/>
      <c r="C28" s="483"/>
      <c r="D28" s="476"/>
      <c r="E28" s="476"/>
      <c r="F28" s="476"/>
      <c r="G28" s="476"/>
      <c r="H28" s="476"/>
      <c r="I28" s="476"/>
      <c r="J28" s="476"/>
      <c r="K28" s="476"/>
      <c r="L28" s="476"/>
      <c r="M28" s="476"/>
      <c r="N28" s="476"/>
      <c r="Q28" s="10"/>
    </row>
    <row r="29" spans="2:22" ht="10.5" customHeight="1" x14ac:dyDescent="0.35">
      <c r="B29" s="484"/>
      <c r="C29" s="484"/>
      <c r="D29" s="484"/>
      <c r="E29" s="484"/>
      <c r="F29" s="484"/>
      <c r="G29" s="484"/>
      <c r="H29" s="484"/>
      <c r="I29" s="484"/>
      <c r="J29" s="484"/>
      <c r="K29" s="484"/>
      <c r="L29" s="484"/>
      <c r="M29" s="484"/>
      <c r="N29" s="484"/>
    </row>
    <row r="30" spans="2:22" ht="15" customHeight="1" x14ac:dyDescent="0.35">
      <c r="B30" s="483" t="s">
        <v>62</v>
      </c>
      <c r="C30" s="483"/>
      <c r="D30" s="476" t="s">
        <v>153</v>
      </c>
      <c r="E30" s="476"/>
      <c r="F30" s="476"/>
      <c r="G30" s="476"/>
      <c r="H30" s="476"/>
      <c r="I30" s="476"/>
      <c r="J30" s="476"/>
      <c r="K30" s="476"/>
      <c r="L30" s="476"/>
      <c r="M30" s="476"/>
      <c r="N30" s="476"/>
      <c r="P30" s="549"/>
      <c r="Q30" s="549"/>
      <c r="R30" s="549"/>
      <c r="S30" s="549"/>
      <c r="T30" s="549"/>
      <c r="U30" s="549"/>
      <c r="V30" s="549"/>
    </row>
    <row r="31" spans="2:22" ht="34.5" customHeight="1" x14ac:dyDescent="0.35">
      <c r="B31" s="483"/>
      <c r="C31" s="483"/>
      <c r="D31" s="476"/>
      <c r="E31" s="476"/>
      <c r="F31" s="476"/>
      <c r="G31" s="476"/>
      <c r="H31" s="476"/>
      <c r="I31" s="476"/>
      <c r="J31" s="476"/>
      <c r="K31" s="476"/>
      <c r="L31" s="476"/>
      <c r="M31" s="476"/>
      <c r="N31" s="476"/>
    </row>
    <row r="33" spans="2:68" ht="18.75" customHeight="1" x14ac:dyDescent="0.35">
      <c r="J33" s="226"/>
      <c r="K33" s="226"/>
      <c r="L33" s="226"/>
      <c r="M33" s="226"/>
      <c r="N33" s="226"/>
    </row>
    <row r="34" spans="2:68" ht="18" x14ac:dyDescent="0.4">
      <c r="B34" s="328" t="s">
        <v>88</v>
      </c>
      <c r="C34" s="329"/>
      <c r="D34" s="329"/>
      <c r="E34" s="329"/>
      <c r="F34" s="330"/>
      <c r="G34" s="329"/>
      <c r="H34" s="329"/>
      <c r="I34" s="329"/>
      <c r="J34" s="329"/>
      <c r="K34" s="329"/>
      <c r="L34" s="329"/>
      <c r="M34" s="329"/>
      <c r="N34" s="329"/>
    </row>
    <row r="35" spans="2:68" ht="21.75" customHeight="1" x14ac:dyDescent="0.35">
      <c r="B35" s="487"/>
      <c r="C35" s="487"/>
      <c r="D35" s="487"/>
      <c r="E35" s="487"/>
      <c r="F35" s="487"/>
      <c r="G35" s="487"/>
      <c r="H35" s="487"/>
      <c r="I35" s="487"/>
      <c r="J35" s="487"/>
      <c r="K35" s="487"/>
      <c r="L35" s="487"/>
      <c r="M35" s="487"/>
      <c r="N35" s="487"/>
      <c r="P35" s="10"/>
    </row>
    <row r="36" spans="2:68" x14ac:dyDescent="0.35">
      <c r="R36" s="165"/>
    </row>
    <row r="37" spans="2:68" ht="36" customHeight="1" x14ac:dyDescent="0.35">
      <c r="C37" s="486" t="str">
        <f>"Did the program have cohorts (classes) graduate in the " &amp;D4 &amp; " calendar year?"</f>
        <v>Did the program have cohorts (classes) graduate in the 2023 calendar year?</v>
      </c>
      <c r="D37" s="486"/>
      <c r="E37" s="486"/>
      <c r="F37" s="486"/>
      <c r="G37" s="229" t="s">
        <v>162</v>
      </c>
      <c r="I37" s="553" t="str">
        <f>IF(AND(G37="No",G39="Please Select",G44="No",G46="Please Select"),"The sponsor's website should post the statement: 
'No graduates during the "&amp;D4&amp;" reporting year'.  
If the program has previous reported outcomes, then those outcomes should remain with the added statement.  Please visit the Annual Reports page of the CoAEMSP website for recommended outcomes posting language."&amp;" 
Complete ONLY the Resource Assessment and the General Information sections below.",IF(AND(G37="No",G39="Please Select",G44="Yes",G46="No"),"The sponsor's website should post the statement: 
'No graduates during the "&amp;D4&amp;" reporting year'.  
If the program has previous reported outcomes, then those outcomes should remain with the added statement. Please visit the Annual Reports page of the CoAEMSP website for recommended outcomes posting language."&amp;"
Please list the active satellite locations on the Satellite(s) tab, "&amp;"then return to this tab (i.e., "&amp;D4&amp;" Annual Report tab) and complete ONLY the Resource Assessment and the General Information sections below.",IF(AND(G37="Yes",G39=0,G44="Yes",G46="Yes"),"Step 1: Select and complete the "&amp;D4&amp;" Satellite(s) tab (bottom left of the spreadsheet).  Once the satellite data has been entered, the aggregate results will auto-populate in a "&amp;"single satellite outcome column [i.e., Satellites] in each of the tables below on this tab (i.e., "&amp;D4&amp;" Annual Report).  
Step 2: Return to this tab (i.e., "&amp;D4&amp;" Annual Report tab) and provide an analysis and action plan (if needed) for each of the tables that do not meet the outcome threshold and complete the remainder of the tab.",IF(AND(G37="Yes",G39&gt;=1,G44="Yes",G46="Yes"),"Step 1: Select and complete the "&amp;D4&amp;" Satellite(s) tab (bottom left of the spreadsheet).  Once the satellite data has been entered, the aggregate results will auto-populate in a "&amp;"single satellite outcome column [i.e., Satellites] in each of the tables below on this tab (i.e., "&amp;D4&amp;" Annual Report).  
Step 2: Return to this tab (i.e., "&amp;D4&amp;" Annual Report tab), add the main campus data in each of the tables below, provide an analysis and action plan (if needed) for each of the tables that do not meet the outcome threshold, and complete the remainder of the tab.",IF(OR(AND(G37="No",G39="Please Select",G44="Yes",G46="Yes"),AND(G37="No",G39="",G44="Yes",G46="Yes"),AND(G37="No",G39="0",G44="Yes",G46="Yes")),"Error has occurred.  IF there are graduates from the satellite location(s) in the "&amp;D4&amp;" calendar year, then the program graduated cohorts (classes) in the "&amp;D4&amp;" calendar year.",IF(AND(G37="Yes",G39=0,G44="No",G46="Please Select"),"Error has occurred.  If the program had graduates and did not operate any satellite location(s) in the "&amp;D4&amp;" calendar year, then there must be a number greater than zero for the primary (main) campus cohorts (classes).",IF(AND(G37="Yes",G39=0,G44="Yes",G46="No"),"Error has occurred.  If the program had graduates, then there must be a number greater than zero for the primary (main) campus cohorts (classes) or students from the satellite location(s) graduated.",IF(AND(G37="Yes",G39&gt;=1,G44="No",G46="Please Select"),"Complete each of the tables and sections below with the graduate outcomes data, as well as, the remainder of the tab.",IF(AND(G37="Yes",G39="0",G44="No",G46="No"),"Error has occurred.  IF the program operated any satellite location(s) in the "&amp;D4&amp;" calendar year, then the program had cohorts (classes) in the "&amp;D4&amp;" calendar year.",IF(AND(G37="Yes",G39&gt;=1,G44="Yes",G46="No"),"Step 1: Complete ONLY the top portion of  the "&amp;D4&amp;" Satellite(s) tab (select tab below).  No satellite data should be placed in the outcomes summary tables since the program reported there were no graduates in the satellite location(s).  
Step 2: Return to this tab (i.e., "&amp;D4&amp;" Annual Report tab), add the main campus data to the Retention/Attrition, National Registry/State Written Examination, and Positive Placement tables below and the remainder of the tab.",""))))))))))</f>
        <v>Step 1: Select and complete the 2023 Satellite(s) tab (bottom left of the spreadsheet).  Once the satellite data has been entered, the aggregate results will auto-populate in a single satellite outcome column [i.e., Satellites] in each of the tables below on this tab (i.e., 2023 Annual Report).  
Step 2: Return to this tab (i.e., 2023 Annual Report tab), add the main campus data in each of the tables below, provide an analysis and action plan (if needed) for each of the tables that do not meet the outcome threshold, and complete the remainder of the tab.</v>
      </c>
      <c r="J37" s="553"/>
      <c r="K37" s="553"/>
      <c r="L37" s="553"/>
      <c r="M37" s="553"/>
      <c r="N37" s="553"/>
      <c r="O37" s="166" t="str">
        <f>IF(P37=1, "&lt;===", "")</f>
        <v/>
      </c>
      <c r="P37" s="167" t="str">
        <f>IF(OR(AND(G37="No",G46="Yes",D411&lt;&gt;""),AND(G37="Please Select", D411&lt;&gt;"")), 1, "")</f>
        <v/>
      </c>
    </row>
    <row r="38" spans="2:68" x14ac:dyDescent="0.35">
      <c r="I38" s="553"/>
      <c r="J38" s="553"/>
      <c r="K38" s="553"/>
      <c r="L38" s="553"/>
      <c r="M38" s="553"/>
      <c r="N38" s="553"/>
    </row>
    <row r="39" spans="2:68" ht="38.25" customHeight="1" x14ac:dyDescent="0.35">
      <c r="B39" s="227"/>
      <c r="C39" s="486" t="str">
        <f>IF(G37="Yes","               Number of primary (main) campus cohorts (classes) 
               that graduated in " &amp;D4 &amp; ":",IF(AND(G37="No",G46="No"),"The program reports there were no graduates 
for the "&amp;D4&amp; " calendar year.", ""))</f>
        <v xml:space="preserve">               Number of primary (main) campus cohorts (classes) 
               that graduated in 2023:</v>
      </c>
      <c r="D39" s="486"/>
      <c r="E39" s="486"/>
      <c r="F39" s="486"/>
      <c r="G39" s="228">
        <v>2</v>
      </c>
      <c r="I39" s="553"/>
      <c r="J39" s="553"/>
      <c r="K39" s="553"/>
      <c r="L39" s="553"/>
      <c r="M39" s="553"/>
      <c r="N39" s="553"/>
      <c r="O39" s="169" t="str">
        <f>IF(P39=1, "&lt;===", "")</f>
        <v/>
      </c>
      <c r="P39" s="167" t="str">
        <f>IF(AND(G37="Yes",G39="Please Select", D411&lt;&gt;""), 1, "")</f>
        <v/>
      </c>
      <c r="BL39" s="308"/>
      <c r="BM39" s="308"/>
      <c r="BN39" s="308"/>
      <c r="BO39" s="308"/>
      <c r="BP39" s="308"/>
    </row>
    <row r="40" spans="2:68" x14ac:dyDescent="0.35">
      <c r="I40" s="553"/>
      <c r="J40" s="553"/>
      <c r="K40" s="553"/>
      <c r="L40" s="553"/>
      <c r="M40" s="553"/>
      <c r="N40" s="553"/>
    </row>
    <row r="41" spans="2:68" x14ac:dyDescent="0.35">
      <c r="I41" s="553"/>
      <c r="J41" s="553"/>
      <c r="K41" s="553"/>
      <c r="L41" s="553"/>
      <c r="M41" s="553"/>
      <c r="N41" s="553"/>
    </row>
    <row r="42" spans="2:68" ht="10" customHeight="1" x14ac:dyDescent="0.35">
      <c r="I42" s="553"/>
      <c r="J42" s="553"/>
      <c r="K42" s="553"/>
      <c r="L42" s="553"/>
      <c r="M42" s="553"/>
      <c r="N42" s="553"/>
    </row>
    <row r="43" spans="2:68" ht="10" customHeight="1" x14ac:dyDescent="0.35">
      <c r="I43" s="553"/>
      <c r="J43" s="553"/>
      <c r="K43" s="553"/>
      <c r="L43" s="553"/>
      <c r="M43" s="553"/>
      <c r="N43" s="553"/>
    </row>
    <row r="44" spans="2:68" ht="36" customHeight="1" x14ac:dyDescent="0.35">
      <c r="B44" s="2"/>
      <c r="C44" s="486" t="str">
        <f>IF(AND(G37="Yes",G39="Satellite(s) Only"),"","               Did the program operate any satellite 
               location(s) in the "&amp;D4&amp;" calendar year?")</f>
        <v xml:space="preserve">               Did the program operate any satellite 
               location(s) in the 2023 calendar year?</v>
      </c>
      <c r="D44" s="486"/>
      <c r="E44" s="486"/>
      <c r="F44" s="486"/>
      <c r="G44" s="228" t="s">
        <v>162</v>
      </c>
      <c r="I44" s="553"/>
      <c r="J44" s="553"/>
      <c r="K44" s="553"/>
      <c r="L44" s="553"/>
      <c r="M44" s="553"/>
      <c r="N44" s="553"/>
      <c r="O44" s="170" t="str">
        <f>IF(P44=1, "&lt;===", "")</f>
        <v/>
      </c>
      <c r="P44" s="167" t="str">
        <f>IF(AND(G39&lt;&gt;"Satellite(s) Only",G44="Please Select",D411&lt;&gt;""), 1, "")</f>
        <v/>
      </c>
    </row>
    <row r="45" spans="2:68" ht="15.75" customHeight="1" x14ac:dyDescent="0.35">
      <c r="I45" s="553"/>
      <c r="J45" s="553"/>
      <c r="K45" s="553"/>
      <c r="L45" s="553"/>
      <c r="M45" s="553"/>
      <c r="N45" s="553"/>
    </row>
    <row r="46" spans="2:68" ht="38.25" customHeight="1" x14ac:dyDescent="0.35">
      <c r="B46" s="2"/>
      <c r="C46" s="486" t="str">
        <f>IF(AND(G39&gt;=1,G44="Yes"),"               Did any students in the satellite location(s)
               graduate in the "&amp;D4&amp;" calendar year?",IF(AND(G39=0,G44="Yes"),"               Did any students in the satellite location(s)
               graduate in the "&amp;D4&amp;" calendar year?",IF(AND(G39&lt;&gt;0,G44="No"),"The program reports there were no active satellite locations 
for the "&amp;D4&amp;" calendar year.","")))</f>
        <v xml:space="preserve">               Did any students in the satellite location(s)
               graduate in the 2023 calendar year?</v>
      </c>
      <c r="D46" s="486"/>
      <c r="E46" s="486"/>
      <c r="F46" s="486"/>
      <c r="G46" s="228" t="s">
        <v>162</v>
      </c>
      <c r="I46" s="553"/>
      <c r="J46" s="553"/>
      <c r="K46" s="553"/>
      <c r="L46" s="553"/>
      <c r="M46" s="553"/>
      <c r="N46" s="553"/>
      <c r="O46" s="170" t="str">
        <f>IF(P46=1, "&lt;===", "")</f>
        <v/>
      </c>
      <c r="P46" s="167" t="str">
        <f>IF(AND(G44="Yes",G46="Please Select",D411&lt;&gt;""), 1, "")</f>
        <v/>
      </c>
    </row>
    <row r="49" spans="1:69" ht="32.25" customHeight="1" x14ac:dyDescent="0.35">
      <c r="B49" s="324" t="s">
        <v>10</v>
      </c>
      <c r="C49" s="325"/>
      <c r="D49" s="325"/>
      <c r="E49" s="325"/>
      <c r="F49" s="325"/>
      <c r="G49" s="325"/>
      <c r="H49" s="325"/>
      <c r="I49" s="325"/>
      <c r="J49" s="325"/>
      <c r="K49" s="325"/>
      <c r="L49" s="325"/>
      <c r="M49" s="325"/>
      <c r="N49" s="325"/>
    </row>
    <row r="50" spans="1:69" ht="15" customHeight="1" x14ac:dyDescent="0.35">
      <c r="B50" s="14"/>
      <c r="C50" s="15">
        <f>$D$16</f>
        <v>600000</v>
      </c>
      <c r="D50" s="402" t="str">
        <f>$D$18</f>
        <v>Accordance Community College</v>
      </c>
      <c r="E50" s="402"/>
      <c r="F50" s="402"/>
      <c r="G50" s="402"/>
      <c r="H50" s="402"/>
      <c r="I50" s="402"/>
      <c r="J50" s="402"/>
      <c r="K50" s="402"/>
      <c r="P50" s="373" t="e">
        <f>IF(P54&lt;&gt;"",$D$16,"")</f>
        <v>#VALUE!</v>
      </c>
      <c r="Q50" s="373"/>
      <c r="R50" s="422" t="e">
        <f>IF(P54&lt;&gt;"",$D$18,"")</f>
        <v>#VALUE!</v>
      </c>
      <c r="S50" s="422"/>
      <c r="T50" s="422"/>
      <c r="U50" s="422"/>
      <c r="V50" s="422"/>
      <c r="W50" s="422"/>
      <c r="X50" s="422"/>
      <c r="Y50" s="422"/>
      <c r="Z50" s="422"/>
      <c r="AA50" s="422"/>
      <c r="AI50" s="373"/>
      <c r="AJ50" s="373"/>
      <c r="AK50" s="422"/>
      <c r="AL50" s="422"/>
      <c r="AM50" s="422"/>
      <c r="AN50" s="422"/>
      <c r="AO50" s="422"/>
      <c r="AP50" s="422"/>
      <c r="AQ50" s="422"/>
      <c r="AR50" s="422"/>
      <c r="AS50" s="422"/>
      <c r="AT50" s="422"/>
      <c r="BB50" s="373"/>
      <c r="BC50" s="373"/>
      <c r="BD50" s="464"/>
      <c r="BE50" s="464"/>
      <c r="BF50" s="464"/>
      <c r="BG50" s="464"/>
      <c r="BH50" s="464"/>
      <c r="BI50" s="464"/>
      <c r="BJ50" s="464"/>
      <c r="BK50" s="464"/>
      <c r="BL50" s="308"/>
      <c r="BM50" s="308"/>
      <c r="BN50" s="308"/>
      <c r="BO50" s="308"/>
      <c r="BP50" s="308"/>
    </row>
    <row r="51" spans="1:69" ht="36.75" customHeight="1" x14ac:dyDescent="0.35">
      <c r="E51" s="121"/>
      <c r="J51" s="226"/>
      <c r="K51" s="226"/>
      <c r="L51" s="226"/>
      <c r="M51" s="226"/>
      <c r="N51" s="226"/>
      <c r="R51" s="464" t="e">
        <f>IF(P54&lt;&gt;"","Retention","")</f>
        <v>#VALUE!</v>
      </c>
      <c r="S51" s="464"/>
      <c r="T51" s="281"/>
      <c r="U51" s="447" t="e">
        <f>IF(P54&lt;&gt;"","          Link to Available Resource Document      (optional)
CoAEMSP website =&gt; Resource Library =&gt; Instruments &amp; Forms","")</f>
        <v>#VALUE!</v>
      </c>
      <c r="V51" s="447"/>
      <c r="W51" s="447"/>
      <c r="X51" s="447"/>
      <c r="Y51" s="447"/>
      <c r="Z51" s="447"/>
      <c r="AK51" s="422"/>
      <c r="AL51" s="422"/>
      <c r="AM51" s="422"/>
      <c r="AN51" s="422"/>
      <c r="AO51" s="422"/>
      <c r="BD51" s="422"/>
      <c r="BE51" s="422"/>
      <c r="BF51" s="422"/>
      <c r="BG51" s="422"/>
      <c r="BH51" s="422"/>
      <c r="BL51" s="308"/>
      <c r="BM51" s="308"/>
      <c r="BN51" s="308"/>
      <c r="BO51" s="308"/>
      <c r="BP51" s="308"/>
    </row>
    <row r="52" spans="1:69" ht="24.75" customHeight="1" x14ac:dyDescent="0.35">
      <c r="U52" s="292"/>
      <c r="V52" s="351" t="e">
        <f>IF(P54&lt;&gt;"","Program Review &amp; Analysis","")</f>
        <v>#VALUE!</v>
      </c>
      <c r="W52" s="351"/>
      <c r="X52" s="351"/>
    </row>
    <row r="53" spans="1:69" s="11" customFormat="1" ht="23.25" customHeight="1" x14ac:dyDescent="0.35">
      <c r="A53" s="158"/>
      <c r="B53" s="29" t="s">
        <v>150</v>
      </c>
      <c r="C53" s="24"/>
      <c r="D53" s="24"/>
      <c r="E53" s="24"/>
      <c r="F53" s="24"/>
      <c r="G53" s="24"/>
      <c r="H53" s="24"/>
      <c r="I53" s="24"/>
      <c r="J53" s="24"/>
      <c r="K53" s="24"/>
      <c r="L53" s="24"/>
      <c r="M53" s="24"/>
      <c r="N53" s="25"/>
      <c r="P53" s="167"/>
      <c r="R53" s="283" t="e">
        <f>IF(P54&lt;&gt;"","REQUIRED: A detailed ANALYSIS for Retention outcome in the box below","")</f>
        <v>#VALUE!</v>
      </c>
    </row>
    <row r="54" spans="1:69" ht="124.5" customHeight="1" x14ac:dyDescent="0.35">
      <c r="B54" s="529" t="str">
        <f>"The Retention outcome threshold set by the CoAEMSP is 70% and based on the Retention/Attrition formula.  All programs must calculate Retention based upon the number of students enrolled after completing 10% of the program’s advertised TOTAL clock hours " &amp;"(e.g., 10% of 1,200 total clock hours = 120 hours; students completing more than 120 hours will be considered enrolled " &amp;"and will be counted in the calculation of the Retention outcome).  This includes all CORE Paramedic coursework (not inclusive of prerequisites such as English, anatomy and physiology, EMT, etc.).  " &amp;"Core Paramedic coursework encompasses all phases of the program including didactic, lab, clinical, field experience, and capstone field internship.
Retention" &amp;" will be computed using the total number of students that completed in the most recent reporting year ("&amp;D4&amp;") and is calculated by determining Attrition (the number of students who dropped out divided by the number enrolled after 10% of total clock hours)." &amp;"  Once the Attrition percentage has been determined, then the Retention percentage is 100% minus the Attrition percentage." &amp; "  "</f>
        <v xml:space="preserve">The Retention outcome threshold set by the CoAEMSP is 70% and based on the Retention/Attrition formula.  All programs must calculate Retention based upon the number of students enrolled after completing 10% of the program’s advertised TOTAL clock hours (e.g., 10% of 1,200 total clock hours = 120 hours; students completing more than 120 hours will be considered enrolled and will be counted in the calculation of the Retention outcome).  This includes all CORE Paramedic coursework (not inclusive of prerequisites such as English, anatomy and physiology, EMT, etc.).  Core Paramedic coursework encompasses all phases of the program including didactic, lab, clinical, field experience, and capstone field internship.
Retention will be computed using the total number of students that completed in the most recent reporting year (2023) and is calculated by determining Attrition (the number of students who dropped out divided by the number enrolled after 10% of total clock hours).  Once the Attrition percentage has been determined, then the Retention percentage is 100% minus the Attrition percentage.  </v>
      </c>
      <c r="C54" s="530"/>
      <c r="D54" s="530"/>
      <c r="E54" s="530"/>
      <c r="F54" s="530"/>
      <c r="G54" s="530"/>
      <c r="H54" s="530"/>
      <c r="I54" s="530"/>
      <c r="J54" s="530"/>
      <c r="K54" s="530"/>
      <c r="L54" s="530"/>
      <c r="M54" s="530"/>
      <c r="N54" s="531"/>
      <c r="P54" s="272" t="e">
        <f>IF(AND(B74="The outcome threshold of 70% has not been met.  
Completion of the analysis and action plan boxes to the right are required ==&gt;",B75=""),"1)","")</f>
        <v>#VALUE!</v>
      </c>
      <c r="Q54" s="190"/>
      <c r="R54" s="541"/>
      <c r="S54" s="541"/>
      <c r="T54" s="541"/>
      <c r="U54" s="541"/>
      <c r="V54" s="541"/>
      <c r="W54" s="541"/>
      <c r="X54" s="541"/>
      <c r="Y54" s="541"/>
      <c r="Z54" s="541"/>
      <c r="AA54" s="301" t="e">
        <f>IF(AB54=1, "&lt;===", "")</f>
        <v>#VALUE!</v>
      </c>
      <c r="AB54" s="199" t="e">
        <f>IF(AND(P54&lt;&gt;"",R54="", D411&lt;&gt;""),1, "")</f>
        <v>#VALUE!</v>
      </c>
      <c r="AC54" s="190"/>
      <c r="AD54" s="190"/>
      <c r="AE54" s="190"/>
      <c r="AF54" s="190"/>
      <c r="AH54" s="189"/>
      <c r="AI54" s="421"/>
      <c r="AJ54" s="421"/>
      <c r="AK54" s="421"/>
      <c r="AL54" s="421"/>
      <c r="AM54" s="421"/>
      <c r="AN54" s="421"/>
      <c r="AO54" s="421"/>
      <c r="AQ54" s="189"/>
      <c r="AR54" s="421"/>
      <c r="AS54" s="421"/>
      <c r="AT54" s="421"/>
      <c r="AU54" s="421"/>
      <c r="AV54" s="421"/>
      <c r="AW54" s="421"/>
      <c r="AX54" s="421"/>
      <c r="AZ54" s="189"/>
      <c r="BA54" s="421"/>
      <c r="BB54" s="421"/>
      <c r="BC54" s="421"/>
      <c r="BD54" s="421"/>
      <c r="BE54" s="421"/>
      <c r="BF54" s="421"/>
      <c r="BG54" s="421"/>
      <c r="BI54" s="189"/>
      <c r="BJ54" s="421"/>
      <c r="BK54" s="421"/>
      <c r="BL54" s="421"/>
      <c r="BM54" s="421"/>
      <c r="BN54" s="421"/>
      <c r="BO54" s="421"/>
      <c r="BP54" s="421"/>
    </row>
    <row r="55" spans="1:69" x14ac:dyDescent="0.35">
      <c r="B55" s="537"/>
      <c r="C55" s="538"/>
      <c r="D55" s="538"/>
      <c r="E55" s="320"/>
      <c r="F55" s="318"/>
      <c r="G55" s="321"/>
      <c r="H55" s="320"/>
      <c r="I55" s="320"/>
      <c r="J55" s="320"/>
      <c r="K55" s="320"/>
      <c r="L55" s="320"/>
      <c r="M55" s="320"/>
      <c r="N55" s="319"/>
      <c r="R55" s="541"/>
      <c r="S55" s="541"/>
      <c r="T55" s="541"/>
      <c r="U55" s="541"/>
      <c r="V55" s="541"/>
      <c r="W55" s="541"/>
      <c r="X55" s="541"/>
      <c r="Y55" s="541"/>
      <c r="Z55" s="541"/>
    </row>
    <row r="56" spans="1:69" ht="29" x14ac:dyDescent="0.35">
      <c r="B56" s="550" t="s">
        <v>20</v>
      </c>
      <c r="C56" s="551"/>
      <c r="D56" s="552"/>
      <c r="E56" s="17" t="str">
        <f>IF(AND($G$37="Yes",$G$39&gt;=1,$G$39&lt;&gt;"Please Select",$G$39&lt;&gt;"0"),"Cohort 
#1:",IF(AND(G37="Yes",G39=0),"No Primary",IF(G37="No","No Graduates","")))</f>
        <v>Cohort 
#1:</v>
      </c>
      <c r="F56" s="18" t="str">
        <f>IF(AND($G$39&gt;=2,$G$39&lt;&gt;"Please Select",$G$39&lt;&gt;0),"Cohort 
#2:",IF(AND(G37="Yes",G39=0),"(main) Campus",""))</f>
        <v>Cohort 
#2:</v>
      </c>
      <c r="G56" s="17" t="str">
        <f>IF(AND($G$39&gt;=3,$G$39&lt;&gt;"Please Select",$G$39&lt;&gt;0),"Cohort 
#3:",IF(AND(G37="Yes",G39=0),"Graduates",""))</f>
        <v/>
      </c>
      <c r="H56" s="17" t="str">
        <f>IF(AND($G$39&gt;=4,$G$39&lt;&gt;"Please Select",$G$39&lt;&gt;"Satellite(s) Only"),"Cohort 
#4:","")</f>
        <v/>
      </c>
      <c r="I56" s="18" t="str">
        <f>IF(AND($G$39&gt;=5,$G$39&lt;&gt;"Please Select",$G$39&lt;&gt;"Satellite(s) Only"), "Cohort 
#5:","")</f>
        <v/>
      </c>
      <c r="J56" s="18" t="str">
        <f>IF(AND($G$39&gt;=6, $G$39&lt;&gt;"Please Select",$G$39&lt;&gt;"Satellite(s) Only"),"Cohort 
#6:","")</f>
        <v/>
      </c>
      <c r="K56" s="18" t="str">
        <f>IF(AND($G$39&gt;=7,$G$39&lt;&gt;"Please Select",$G$39&lt;&gt;"Satellite(s) Only"), "Cohort 
#7:","")</f>
        <v/>
      </c>
      <c r="L56" s="18" t="str">
        <f>IF(AND($G$39&gt;=8, $G$39&lt;&gt;"Please Select",$G$39&lt;&gt;"Satellite(s) Only"),"Cohort 
#8:","")</f>
        <v/>
      </c>
      <c r="M56" s="17" t="str">
        <f>IF(AND(G44="Yes",G46="Yes"),"Satellites Data",IF(G44="No","No Satellites",IF(AND(G44="Yes",G46="No"),"No Satellites","")))</f>
        <v>Satellites Data</v>
      </c>
      <c r="N56" s="18" t="s">
        <v>12</v>
      </c>
      <c r="P56" s="172"/>
      <c r="Q56" s="11"/>
      <c r="R56" s="541"/>
      <c r="S56" s="541"/>
      <c r="T56" s="541"/>
      <c r="U56" s="541"/>
      <c r="V56" s="541"/>
      <c r="W56" s="541"/>
      <c r="X56" s="541"/>
      <c r="Y56" s="541"/>
      <c r="Z56" s="541"/>
      <c r="AA56" s="11"/>
      <c r="AF56" s="167"/>
      <c r="AG56" s="197"/>
      <c r="AI56" s="441"/>
      <c r="AJ56" s="441"/>
      <c r="AO56" s="167"/>
      <c r="AP56" s="197"/>
      <c r="AR56" s="441"/>
      <c r="AS56" s="441"/>
      <c r="AX56" s="3"/>
      <c r="AY56" s="197"/>
      <c r="BA56" s="441"/>
      <c r="BB56" s="441"/>
      <c r="BG56" s="167"/>
      <c r="BH56" s="197"/>
      <c r="BJ56" s="447"/>
      <c r="BK56" s="447"/>
      <c r="BL56" s="447"/>
      <c r="BM56" s="447"/>
      <c r="BN56" s="447"/>
      <c r="BO56" s="447"/>
      <c r="BP56" s="447"/>
      <c r="BQ56" s="197"/>
    </row>
    <row r="57" spans="1:69" ht="18" customHeight="1" x14ac:dyDescent="0.35">
      <c r="B57" s="44" t="s">
        <v>14</v>
      </c>
      <c r="C57" s="43"/>
      <c r="D57" s="160" t="s">
        <v>59</v>
      </c>
      <c r="E57" s="268">
        <v>10</v>
      </c>
      <c r="F57" s="268">
        <v>44713</v>
      </c>
      <c r="G57" s="268"/>
      <c r="H57" s="268"/>
      <c r="I57" s="268"/>
      <c r="J57" s="268"/>
      <c r="K57" s="268"/>
      <c r="L57" s="268"/>
      <c r="M57" s="57">
        <v>44713</v>
      </c>
      <c r="N57" s="46"/>
      <c r="O57" s="9" t="str">
        <f>IF(P57=1, "&lt;===", "")</f>
        <v/>
      </c>
      <c r="P57" s="3" t="str">
        <f>IF(OR(AND(E57="",E71&lt;&gt;"",D411&lt;&gt;""),AND(F57="",F71&lt;&gt;"",D411&lt;&gt;""),AND(G57="",G71&lt;&gt;"",D411&lt;&gt;""),AND(H57="",H71&lt;&gt;"",D411&lt;&gt;""),AND(I57="",I71&lt;&gt;"",D411&lt;&gt;""),AND(J57="",J71&lt;&gt;"",D411&lt;&gt;""),AND(K57="",K71&lt;&gt;"",D411&lt;&gt;""),AND(L57="",L71&lt;&gt;"",D411&lt;&gt;"")),1,"")</f>
        <v/>
      </c>
      <c r="R57" s="541"/>
      <c r="S57" s="541"/>
      <c r="T57" s="541"/>
      <c r="U57" s="541"/>
      <c r="V57" s="541"/>
      <c r="W57" s="541"/>
      <c r="X57" s="541"/>
      <c r="Y57" s="541"/>
      <c r="Z57" s="541"/>
      <c r="BJ57" s="447"/>
      <c r="BK57" s="447"/>
      <c r="BL57" s="447"/>
      <c r="BM57" s="447"/>
      <c r="BN57" s="447"/>
      <c r="BO57" s="447"/>
      <c r="BP57" s="447"/>
      <c r="BQ57" s="3"/>
    </row>
    <row r="58" spans="1:69" ht="18" customHeight="1" x14ac:dyDescent="0.35">
      <c r="B58" s="369" t="s">
        <v>11</v>
      </c>
      <c r="C58" s="370"/>
      <c r="D58" s="161" t="s">
        <v>59</v>
      </c>
      <c r="E58" s="269">
        <v>45275</v>
      </c>
      <c r="F58" s="269">
        <v>44711</v>
      </c>
      <c r="G58" s="269"/>
      <c r="H58" s="269"/>
      <c r="I58" s="269"/>
      <c r="J58" s="269"/>
      <c r="K58" s="269"/>
      <c r="L58" s="269"/>
      <c r="M58" s="47">
        <v>45076</v>
      </c>
      <c r="N58" s="48"/>
      <c r="O58" s="170" t="str">
        <f>IF(P58=1, "&lt;===", "")</f>
        <v/>
      </c>
      <c r="P58" s="173" t="str">
        <f>IF(OR(AND(E58="",E71&lt;&gt;"",D411&lt;&gt;""),AND(F58="",F71&lt;&gt;"",D411&lt;&gt;""),AND(G58="",G71&lt;&gt;"",D411&lt;&gt;""),AND(H58="",H71&lt;&gt;"",D411&lt;&gt;""),AND(I58="",I71&lt;&gt;"",D411&lt;&gt;""),AND(J58="",J71&lt;&gt;"",D411&lt;&gt;""),AND(K58="",K71&lt;&gt;"",D411&lt;&gt;""),AND(L58="",L71&lt;&gt;"",D411&lt;&gt;"")),1,"")</f>
        <v/>
      </c>
      <c r="R58" s="541"/>
      <c r="S58" s="541"/>
      <c r="T58" s="541"/>
      <c r="U58" s="541"/>
      <c r="V58" s="541"/>
      <c r="W58" s="541"/>
      <c r="X58" s="541"/>
      <c r="Y58" s="541"/>
      <c r="Z58" s="541"/>
      <c r="AK58" s="4"/>
      <c r="AR58" s="5"/>
      <c r="AS58" s="5"/>
      <c r="AT58" s="5"/>
      <c r="AU58" s="5"/>
      <c r="AV58" s="5"/>
      <c r="AW58" s="5"/>
      <c r="AX58" s="5"/>
      <c r="BJ58" s="447"/>
      <c r="BK58" s="447"/>
      <c r="BL58" s="447"/>
      <c r="BM58" s="447"/>
      <c r="BN58" s="447"/>
      <c r="BO58" s="447"/>
      <c r="BP58" s="447"/>
    </row>
    <row r="59" spans="1:69" ht="18" customHeight="1" x14ac:dyDescent="0.35">
      <c r="B59" s="178" t="s">
        <v>134</v>
      </c>
      <c r="C59" s="90"/>
      <c r="D59" s="90"/>
      <c r="E59" s="270">
        <v>24</v>
      </c>
      <c r="F59" s="271">
        <v>15</v>
      </c>
      <c r="G59" s="271"/>
      <c r="H59" s="271"/>
      <c r="I59" s="271"/>
      <c r="J59" s="271"/>
      <c r="K59" s="271"/>
      <c r="L59" s="271"/>
      <c r="M59" s="274" t="str">
        <f>'2023 Satellite(s)'!$N$66</f>
        <v/>
      </c>
      <c r="N59" s="89">
        <f>IF(SUM(E59:M59)=0,"",SUM(E59:M59))</f>
        <v>39</v>
      </c>
      <c r="O59" s="9" t="str">
        <f>IF(P59=1, "&lt;===", "")</f>
        <v/>
      </c>
      <c r="P59" s="174" t="str">
        <f>IF(OR(AND(E59="",N69&lt;&gt;"",E71&lt;&gt;"",D411&lt;&gt;""),AND(F59="",F71&lt;&gt;"",D411&lt;&gt;""),AND(G59="",G71&lt;&gt;"",D411&lt;&gt;""),AND(H59="",H71&lt;&gt;"",D411&lt;&gt;""),AND(I59="",I71&lt;&gt;"",D411&lt;&gt;""),AND(J59="",J71&lt;&gt;"",D411&lt;&gt;""),AND(K59="",K71&lt;&gt;"",D411&lt;&gt;""),AND(L59="",L71&lt;&gt;"",D411&lt;&gt;""),AND(M59="",M71&lt;&gt;"",D411&lt;&gt;"")),1,IF(AND(N59="",N69&lt;&gt;"",N71="",D411&lt;&gt;""),1,""))</f>
        <v/>
      </c>
      <c r="Q59" s="190"/>
      <c r="R59" s="541"/>
      <c r="S59" s="541"/>
      <c r="T59" s="541"/>
      <c r="U59" s="541"/>
      <c r="V59" s="541"/>
      <c r="W59" s="541"/>
      <c r="X59" s="541"/>
      <c r="Y59" s="541"/>
      <c r="Z59" s="541"/>
      <c r="AA59" s="217"/>
      <c r="AB59" s="217"/>
      <c r="AC59" s="217"/>
      <c r="AD59" s="217"/>
      <c r="AE59" s="217"/>
      <c r="AF59" s="217"/>
      <c r="AH59" s="189"/>
      <c r="AI59" s="397"/>
      <c r="AJ59" s="397"/>
      <c r="AK59" s="397"/>
      <c r="AL59" s="397"/>
      <c r="AM59" s="397"/>
      <c r="AN59" s="397"/>
      <c r="AO59" s="397"/>
      <c r="AQ59" s="189"/>
      <c r="AR59" s="397"/>
      <c r="AS59" s="397"/>
      <c r="AT59" s="397"/>
      <c r="AU59" s="397"/>
      <c r="AV59" s="397"/>
      <c r="AW59" s="397"/>
      <c r="AX59" s="397"/>
      <c r="AZ59" s="189"/>
      <c r="BA59" s="463"/>
      <c r="BB59" s="463"/>
      <c r="BC59" s="463"/>
      <c r="BD59" s="463"/>
      <c r="BE59" s="463"/>
      <c r="BF59" s="463"/>
      <c r="BG59" s="463"/>
      <c r="BJ59" s="447"/>
      <c r="BK59" s="447"/>
      <c r="BL59" s="447"/>
      <c r="BM59" s="447"/>
      <c r="BN59" s="447"/>
      <c r="BO59" s="447"/>
      <c r="BP59" s="447"/>
    </row>
    <row r="60" spans="1:69" ht="44.25" customHeight="1" x14ac:dyDescent="0.35">
      <c r="B60" s="403" t="s">
        <v>142</v>
      </c>
      <c r="C60" s="564"/>
      <c r="D60" s="564"/>
      <c r="E60" s="564"/>
      <c r="F60" s="564"/>
      <c r="G60" s="564"/>
      <c r="H60" s="564"/>
      <c r="I60" s="564"/>
      <c r="J60" s="564"/>
      <c r="K60" s="564"/>
      <c r="L60" s="564"/>
      <c r="M60" s="564"/>
      <c r="N60" s="41"/>
      <c r="P60" s="172"/>
      <c r="Q60" s="164"/>
      <c r="R60" s="541"/>
      <c r="S60" s="541"/>
      <c r="T60" s="541"/>
      <c r="U60" s="541"/>
      <c r="V60" s="541"/>
      <c r="W60" s="541"/>
      <c r="X60" s="541"/>
      <c r="Y60" s="541"/>
      <c r="Z60" s="541"/>
      <c r="AA60" s="217"/>
      <c r="AB60" s="217"/>
      <c r="AC60" s="217"/>
      <c r="AD60" s="217"/>
      <c r="AE60" s="217"/>
      <c r="AF60" s="217"/>
      <c r="AI60" s="397"/>
      <c r="AJ60" s="397"/>
      <c r="AK60" s="397"/>
      <c r="AL60" s="397"/>
      <c r="AM60" s="397"/>
      <c r="AN60" s="397"/>
      <c r="AO60" s="397"/>
      <c r="AR60" s="397"/>
      <c r="AS60" s="397"/>
      <c r="AT60" s="397"/>
      <c r="AU60" s="397"/>
      <c r="AV60" s="397"/>
      <c r="AW60" s="397"/>
      <c r="AX60" s="397"/>
      <c r="BA60" s="441"/>
      <c r="BB60" s="441"/>
      <c r="BG60" s="167" t="e">
        <f>IF(OR(AND(P54&lt;&gt;"", BA60="Please Select",D411&lt;&gt;""),AND(P54&lt;&gt;"",BA60="",D411&lt;&gt;"")),1, "")</f>
        <v>#VALUE!</v>
      </c>
      <c r="BH60" s="197"/>
      <c r="BJ60" s="447"/>
      <c r="BK60" s="447"/>
      <c r="BL60" s="447"/>
      <c r="BM60" s="447"/>
      <c r="BN60" s="447"/>
      <c r="BO60" s="447"/>
      <c r="BP60" s="447"/>
    </row>
    <row r="61" spans="1:69" ht="18" customHeight="1" x14ac:dyDescent="0.35">
      <c r="B61" s="45"/>
      <c r="C61" s="122" t="s">
        <v>24</v>
      </c>
      <c r="D61" s="43"/>
      <c r="E61" s="125">
        <v>2</v>
      </c>
      <c r="F61" s="126">
        <v>1</v>
      </c>
      <c r="G61" s="126"/>
      <c r="H61" s="126"/>
      <c r="I61" s="126"/>
      <c r="J61" s="126"/>
      <c r="K61" s="126"/>
      <c r="L61" s="126"/>
      <c r="M61" s="230" t="str">
        <f>'2023 Satellite(s)'!$N$68</f>
        <v/>
      </c>
      <c r="N61" s="136">
        <f>IF(COUNT(E61:M61),SUM(E61:M61),"")</f>
        <v>3</v>
      </c>
      <c r="O61" s="170" t="str">
        <f>IF(P61=1, "&lt;===", "")</f>
        <v/>
      </c>
      <c r="P61" s="172" t="str">
        <f>IF(OR(AND(E59&lt;&gt;"",E61="",D411&lt;&gt;""),AND(F59&lt;&gt;"",F61="",D411&lt;&gt;""),AND(G59&lt;&gt;"",G61="",D411&lt;&gt;""),AND(H59&lt;&gt;"",H61="",D411&lt;&gt;""),AND(I59&lt;&gt;"",I61="",D411&lt;&gt;""),AND(J59&lt;&gt;"",J61="",D411&lt;&gt;""),AND(K59&lt;&gt;"",K61="",D411&lt;&gt;""),AND(L59&lt;&gt;"",L61="",D411&lt;&gt;""),AND(M59&lt;&gt;"",M61="",D411&lt;&gt;"")), 1, "")</f>
        <v/>
      </c>
      <c r="Q61" s="190"/>
      <c r="R61" s="541"/>
      <c r="S61" s="541"/>
      <c r="T61" s="541"/>
      <c r="U61" s="541"/>
      <c r="V61" s="541"/>
      <c r="W61" s="541"/>
      <c r="X61" s="541"/>
      <c r="Y61" s="541"/>
      <c r="Z61" s="541"/>
      <c r="AA61" s="217"/>
      <c r="AB61" s="217"/>
      <c r="AC61" s="217"/>
      <c r="AD61" s="217"/>
      <c r="AE61" s="217"/>
      <c r="AF61" s="217"/>
      <c r="AI61" s="441"/>
      <c r="AJ61" s="441"/>
      <c r="AK61" s="190"/>
      <c r="AL61" s="190"/>
      <c r="AM61" s="190"/>
      <c r="AN61" s="190"/>
      <c r="AO61" s="199"/>
      <c r="AP61" s="197"/>
      <c r="AR61" s="441"/>
      <c r="AS61" s="441"/>
      <c r="AT61" s="5"/>
      <c r="AU61" s="5"/>
      <c r="AV61" s="5"/>
      <c r="AW61" s="5"/>
      <c r="AX61" s="198"/>
      <c r="AY61" s="197"/>
      <c r="BJ61" s="447"/>
      <c r="BK61" s="447"/>
      <c r="BL61" s="447"/>
      <c r="BM61" s="447"/>
      <c r="BN61" s="447"/>
      <c r="BO61" s="447"/>
      <c r="BP61" s="447"/>
    </row>
    <row r="62" spans="1:69" ht="18" customHeight="1" x14ac:dyDescent="0.35">
      <c r="B62" s="31"/>
      <c r="C62" s="123" t="s">
        <v>25</v>
      </c>
      <c r="D62" s="41"/>
      <c r="E62" s="127">
        <v>0</v>
      </c>
      <c r="F62" s="127"/>
      <c r="G62" s="127"/>
      <c r="H62" s="127"/>
      <c r="I62" s="127"/>
      <c r="J62" s="127"/>
      <c r="K62" s="127"/>
      <c r="L62" s="127"/>
      <c r="M62" s="231" t="str">
        <f>'2023 Satellite(s)'!$N$69</f>
        <v/>
      </c>
      <c r="N62" s="53">
        <f>IF(COUNT(E62:M62),SUM(E62:M62),"")</f>
        <v>0</v>
      </c>
      <c r="O62" s="170" t="str">
        <f>IF(P62=1, "&lt;===", "")</f>
        <v/>
      </c>
      <c r="P62" s="173" t="str">
        <f>IF(OR(AND(E59&lt;&gt;"",E62="",D411&lt;&gt;""),AND(F59&lt;&gt;"",F62="",D411&lt;&gt;""),AND(G59&lt;&gt;"",G62="",D411&lt;&gt;""),AND(H59&lt;&gt;"",H62="",D411&lt;&gt;""),AND(I59&lt;&gt;"",I62="",D411&lt;&gt;""),AND(J59&lt;&gt;"",J62="",D411&lt;&gt;""),AND(K59&lt;&gt;"",K62="",D411&lt;&gt;""),AND(L59&lt;&gt;"",L62="",D411&lt;&gt;""),AND(M59&lt;&gt;"",M62="",D411&lt;&gt;"")), 1, "")</f>
        <v/>
      </c>
      <c r="Q62" s="3" t="str">
        <f>IF(OR(AND(E59&lt;&gt;"",E63="",D411&lt;&gt;""),AND(F59&lt;&gt;"",F63="",D411&lt;&gt;""),AND(G59&lt;&gt;"",G63="",D411&lt;&gt;""),AND(H59&lt;&gt;"",H63="",D411&lt;&gt;""),AND(I59&lt;&gt;"",I63="",D411&lt;&gt;""),AND(J59&lt;&gt;"",J63="",D411&lt;&gt;""),AND(K59&lt;&gt;"",K63="",D411&lt;&gt;""),AND(L59&lt;&gt;"",L63="",D411&lt;&gt;""),AND(M59&lt;&gt;"",M63="",D411&lt;&gt;"")), 1, "")</f>
        <v/>
      </c>
      <c r="R62" s="541"/>
      <c r="S62" s="541"/>
      <c r="T62" s="541"/>
      <c r="U62" s="541"/>
      <c r="V62" s="541"/>
      <c r="W62" s="541"/>
      <c r="X62" s="541"/>
      <c r="Y62" s="541"/>
      <c r="Z62" s="541"/>
      <c r="AA62" s="11"/>
      <c r="AF62" s="167"/>
      <c r="AG62" s="197"/>
      <c r="AK62" s="4"/>
      <c r="AR62" s="5"/>
      <c r="AS62" s="5"/>
      <c r="AT62" s="5"/>
      <c r="AU62" s="5"/>
      <c r="AV62" s="5"/>
      <c r="AW62" s="5"/>
      <c r="AX62" s="5"/>
      <c r="BA62" s="462"/>
      <c r="BB62" s="462"/>
      <c r="BC62" s="462"/>
      <c r="BD62" s="462"/>
      <c r="BE62" s="462"/>
      <c r="BF62" s="462"/>
      <c r="BG62" s="462"/>
      <c r="BJ62" s="447"/>
      <c r="BK62" s="447"/>
      <c r="BL62" s="447"/>
      <c r="BM62" s="447"/>
      <c r="BN62" s="447"/>
      <c r="BO62" s="447"/>
      <c r="BP62" s="447"/>
    </row>
    <row r="63" spans="1:69" ht="18" customHeight="1" x14ac:dyDescent="0.35">
      <c r="B63" s="45"/>
      <c r="C63" s="122" t="s">
        <v>26</v>
      </c>
      <c r="D63" s="42"/>
      <c r="E63" s="128">
        <v>1</v>
      </c>
      <c r="F63" s="128">
        <v>1</v>
      </c>
      <c r="G63" s="128"/>
      <c r="H63" s="128"/>
      <c r="I63" s="128"/>
      <c r="J63" s="128"/>
      <c r="K63" s="128"/>
      <c r="L63" s="128"/>
      <c r="M63" s="232" t="str">
        <f>'2023 Satellite(s)'!$N$70</f>
        <v/>
      </c>
      <c r="N63" s="52">
        <f>IF(COUNT(E63:M63),SUM(E63:M63),"")</f>
        <v>2</v>
      </c>
      <c r="O63" s="170" t="str">
        <f>IF(Q62=1, "&lt;===", "")</f>
        <v/>
      </c>
      <c r="P63" s="174"/>
      <c r="Q63" s="155"/>
      <c r="R63" s="541"/>
      <c r="S63" s="541"/>
      <c r="T63" s="541"/>
      <c r="U63" s="541"/>
      <c r="V63" s="541"/>
      <c r="W63" s="541"/>
      <c r="X63" s="541"/>
      <c r="Y63" s="541"/>
      <c r="Z63" s="541"/>
      <c r="AR63" s="63"/>
      <c r="AS63" s="63"/>
      <c r="AT63" s="63"/>
      <c r="AU63" s="63"/>
      <c r="AV63" s="63"/>
      <c r="AW63" s="63"/>
      <c r="AX63" s="63"/>
      <c r="BA63" s="462"/>
      <c r="BB63" s="462"/>
      <c r="BC63" s="462"/>
      <c r="BD63" s="462"/>
      <c r="BE63" s="462"/>
      <c r="BF63" s="462"/>
      <c r="BG63" s="462"/>
      <c r="BJ63" s="447"/>
      <c r="BK63" s="447"/>
      <c r="BL63" s="447"/>
      <c r="BM63" s="447"/>
      <c r="BN63" s="447"/>
      <c r="BO63" s="447"/>
      <c r="BP63" s="447"/>
    </row>
    <row r="64" spans="1:69" ht="25.5" customHeight="1" x14ac:dyDescent="0.35">
      <c r="B64" s="124" t="s">
        <v>39</v>
      </c>
      <c r="C64" s="19"/>
      <c r="D64" s="19"/>
      <c r="E64" s="153">
        <f>IF(OR(E61="",E62="",E63=""),"",SUM(E61:E63))</f>
        <v>3</v>
      </c>
      <c r="F64" s="153" t="str">
        <f t="shared" ref="F64:M64" si="0">IF(OR(F61="",F62="",F63=""),"",SUM(F61:F63))</f>
        <v/>
      </c>
      <c r="G64" s="153" t="str">
        <f t="shared" si="0"/>
        <v/>
      </c>
      <c r="H64" s="153" t="str">
        <f t="shared" si="0"/>
        <v/>
      </c>
      <c r="I64" s="153" t="str">
        <f t="shared" si="0"/>
        <v/>
      </c>
      <c r="J64" s="153" t="str">
        <f t="shared" si="0"/>
        <v/>
      </c>
      <c r="K64" s="153" t="str">
        <f t="shared" si="0"/>
        <v/>
      </c>
      <c r="L64" s="153" t="str">
        <f t="shared" si="0"/>
        <v/>
      </c>
      <c r="M64" s="153" t="str">
        <f t="shared" si="0"/>
        <v/>
      </c>
      <c r="N64" s="151">
        <f>IF(COUNT(N61:N63),SUM(N61:N63),"")</f>
        <v>5</v>
      </c>
      <c r="Q64" s="60"/>
      <c r="R64" s="541"/>
      <c r="S64" s="541"/>
      <c r="T64" s="541"/>
      <c r="U64" s="541"/>
      <c r="V64" s="541"/>
      <c r="W64" s="541"/>
      <c r="X64" s="541"/>
      <c r="Y64" s="541"/>
      <c r="Z64" s="541"/>
      <c r="AR64" s="63"/>
      <c r="AS64" s="63"/>
      <c r="AT64" s="63"/>
      <c r="AU64" s="63"/>
      <c r="AV64" s="63"/>
      <c r="AW64" s="63"/>
      <c r="AX64" s="63"/>
      <c r="BA64" s="441"/>
      <c r="BB64" s="441"/>
      <c r="BG64" s="167" t="e">
        <f>IF(AND(P54&lt;&gt;"", BA64="Please Select",D411&lt;&gt;""),1, "")</f>
        <v>#VALUE!</v>
      </c>
      <c r="BH64" s="197" t="e">
        <f>IF(BG64=1,"&lt;===", "")</f>
        <v>#VALUE!</v>
      </c>
      <c r="BJ64" s="447"/>
      <c r="BK64" s="447"/>
      <c r="BL64" s="447"/>
      <c r="BM64" s="447"/>
      <c r="BN64" s="447"/>
      <c r="BO64" s="447"/>
      <c r="BP64" s="447"/>
    </row>
    <row r="65" spans="2:84" ht="44.25" customHeight="1" x14ac:dyDescent="0.35">
      <c r="B65" s="403" t="s">
        <v>141</v>
      </c>
      <c r="C65" s="564"/>
      <c r="D65" s="564"/>
      <c r="E65" s="564"/>
      <c r="F65" s="564"/>
      <c r="G65" s="564"/>
      <c r="H65" s="564"/>
      <c r="I65" s="564"/>
      <c r="J65" s="564"/>
      <c r="K65" s="564"/>
      <c r="L65" s="564"/>
      <c r="M65" s="564"/>
      <c r="N65" s="137"/>
      <c r="P65" s="174"/>
      <c r="Q65" s="60"/>
      <c r="R65" s="155" t="e">
        <f>IF(P54&lt;&gt;"","REQUIRED: A detailed Action Plan for Retention outcome in the box below","")</f>
        <v>#VALUE!</v>
      </c>
      <c r="S65" s="60"/>
      <c r="T65" s="60"/>
      <c r="U65" s="60"/>
      <c r="V65" s="60"/>
      <c r="W65" s="60"/>
      <c r="Y65" s="61"/>
      <c r="Z65" s="217"/>
      <c r="AA65" s="217"/>
      <c r="AB65" s="217"/>
      <c r="AC65" s="217"/>
      <c r="AD65" s="217"/>
      <c r="AE65" s="217"/>
      <c r="AF65" s="217"/>
      <c r="AH65" s="189"/>
      <c r="AI65" s="397"/>
      <c r="AJ65" s="397"/>
      <c r="AK65" s="397"/>
      <c r="AL65" s="397"/>
      <c r="AM65" s="397"/>
      <c r="AN65" s="397"/>
      <c r="AO65" s="397"/>
      <c r="AR65" s="397"/>
      <c r="AS65" s="397"/>
      <c r="AT65" s="397"/>
      <c r="AU65" s="397"/>
      <c r="AV65" s="397"/>
      <c r="AW65" s="397"/>
      <c r="AX65" s="397"/>
    </row>
    <row r="66" spans="2:84" ht="18" customHeight="1" x14ac:dyDescent="0.35">
      <c r="B66" s="45"/>
      <c r="C66" s="122" t="s">
        <v>27</v>
      </c>
      <c r="D66" s="42"/>
      <c r="E66" s="125"/>
      <c r="F66" s="125">
        <v>2</v>
      </c>
      <c r="G66" s="125"/>
      <c r="H66" s="125"/>
      <c r="I66" s="125"/>
      <c r="J66" s="125"/>
      <c r="K66" s="125"/>
      <c r="L66" s="125"/>
      <c r="M66" s="233" t="str">
        <f>'2023 Satellite(s)'!N73</f>
        <v/>
      </c>
      <c r="N66" s="138">
        <f>IF(COUNT(E66:M66),SUM(E66:M66),"")</f>
        <v>2</v>
      </c>
      <c r="O66" s="170" t="str">
        <f>IF(P66=1, "&lt;===", "")</f>
        <v/>
      </c>
      <c r="P66" s="167" t="str">
        <f>IF(OR(AND(E59&lt;&gt;"",E66="",D411&lt;&gt;""),AND(F59&lt;&gt;"",F66="",D411&lt;&gt;""),AND(G59&lt;&gt;"",G66="",D411&lt;&gt;""),AND(H59&lt;&gt;"",H66="",D411&lt;&gt;""),AND(I59&lt;&gt;"",I66="",D411&lt;&gt;""),AND(J59&lt;&gt;"",J66="",D411&lt;&gt;""),AND(K59&lt;&gt;"",K66="",D411&lt;&gt;""),AND(L59&lt;&gt;"",L66="",D411&lt;&gt;""),AND(M59&lt;&gt;"",M66="",D411&lt;&gt;"")), 1, "")</f>
        <v/>
      </c>
      <c r="Q66" s="63"/>
      <c r="R66" s="541"/>
      <c r="S66" s="541"/>
      <c r="T66" s="541"/>
      <c r="U66" s="541"/>
      <c r="V66" s="541"/>
      <c r="W66" s="541"/>
      <c r="X66" s="541"/>
      <c r="Y66" s="541"/>
      <c r="Z66" s="541"/>
      <c r="AA66" s="217"/>
      <c r="AB66" s="217"/>
      <c r="AC66" s="217"/>
      <c r="AD66" s="217"/>
      <c r="AE66" s="217"/>
      <c r="AF66" s="217"/>
      <c r="AI66" s="397"/>
      <c r="AJ66" s="397"/>
      <c r="AK66" s="397"/>
      <c r="AL66" s="397"/>
      <c r="AM66" s="397"/>
      <c r="AN66" s="397"/>
      <c r="AO66" s="397"/>
      <c r="AR66" s="397"/>
      <c r="AS66" s="397"/>
      <c r="AT66" s="397"/>
      <c r="AU66" s="397"/>
      <c r="AV66" s="397"/>
      <c r="AW66" s="397"/>
      <c r="AX66" s="397"/>
      <c r="BA66" s="397"/>
      <c r="BB66" s="397"/>
      <c r="BC66" s="397"/>
      <c r="BD66" s="397"/>
      <c r="BE66" s="397"/>
      <c r="BF66" s="397"/>
      <c r="BG66" s="397"/>
      <c r="BI66" s="189"/>
      <c r="BJ66" s="421"/>
      <c r="BK66" s="421"/>
      <c r="BL66" s="421"/>
      <c r="BM66" s="421"/>
      <c r="BN66" s="421"/>
      <c r="BO66" s="421"/>
      <c r="BP66" s="421"/>
    </row>
    <row r="67" spans="2:84" ht="18" customHeight="1" x14ac:dyDescent="0.35">
      <c r="B67" s="31"/>
      <c r="C67" s="123" t="s">
        <v>41</v>
      </c>
      <c r="D67" s="41"/>
      <c r="E67" s="131">
        <v>1</v>
      </c>
      <c r="F67" s="131"/>
      <c r="G67" s="131"/>
      <c r="H67" s="131"/>
      <c r="I67" s="131"/>
      <c r="J67" s="131"/>
      <c r="K67" s="131"/>
      <c r="L67" s="131"/>
      <c r="M67" s="234" t="str">
        <f>'2023 Satellite(s)'!N74</f>
        <v/>
      </c>
      <c r="N67" s="54">
        <f>IF(COUNT(E67:M67),SUM(E67:M67),"")</f>
        <v>1</v>
      </c>
      <c r="O67" s="170" t="str">
        <f>IF(P67=1, "&lt;===", "")</f>
        <v/>
      </c>
      <c r="P67" s="174" t="str">
        <f>IF(OR(AND(E59&lt;&gt;"",E67="",D411&lt;&gt;""),AND(F59&lt;&gt;"",F67="",D411&lt;&gt;""),AND(G59&lt;&gt;"",G67="",D411&lt;&gt;""),AND(H59&lt;&gt;"",H67="",D411&lt;&gt;""),AND(I59&lt;&gt;"",I67="",D411&lt;&gt;""),AND(J59&lt;&gt;"",J67="",D411&lt;&gt;""),AND(K59&lt;&gt;"",K67="",D411&lt;&gt;""),AND(L59&lt;&gt;"",L67="",D411&lt;&gt;""),AND(M59&lt;&gt;"",M67="",D411&lt;&gt;"")), 1, "")</f>
        <v/>
      </c>
      <c r="Q67" s="63"/>
      <c r="R67" s="541"/>
      <c r="S67" s="541"/>
      <c r="T67" s="541"/>
      <c r="U67" s="541"/>
      <c r="V67" s="541"/>
      <c r="W67" s="541"/>
      <c r="X67" s="541"/>
      <c r="Y67" s="541"/>
      <c r="Z67" s="541"/>
      <c r="AA67" s="197" t="e">
        <f>IF(AB67=1, "&lt;===", "")</f>
        <v>#VALUE!</v>
      </c>
      <c r="AB67" s="3" t="e">
        <f>IF(AND(P54&lt;&gt;"",R66="", D411&lt;&gt;""),1, "")</f>
        <v>#VALUE!</v>
      </c>
      <c r="AC67" s="414"/>
      <c r="AD67" s="414"/>
      <c r="AE67" s="441"/>
      <c r="AF67" s="441"/>
      <c r="AG67" s="197"/>
      <c r="AI67" s="441"/>
      <c r="AJ67" s="441"/>
      <c r="AO67" s="3"/>
      <c r="AP67" s="197"/>
      <c r="AR67" s="447"/>
      <c r="AS67" s="447"/>
      <c r="AT67" s="447"/>
      <c r="AU67" s="447"/>
      <c r="AV67" s="447"/>
      <c r="AW67" s="447"/>
      <c r="AX67" s="447"/>
      <c r="BA67" s="397"/>
      <c r="BB67" s="397"/>
      <c r="BC67" s="397"/>
      <c r="BD67" s="397"/>
      <c r="BE67" s="397"/>
      <c r="BF67" s="397"/>
      <c r="BG67" s="397"/>
      <c r="BJ67" s="421"/>
      <c r="BK67" s="421"/>
      <c r="BL67" s="421"/>
      <c r="BM67" s="421"/>
      <c r="BN67" s="421"/>
      <c r="BO67" s="421"/>
      <c r="BP67" s="421"/>
    </row>
    <row r="68" spans="2:84" ht="18" customHeight="1" x14ac:dyDescent="0.35">
      <c r="B68" s="45"/>
      <c r="C68" s="122" t="s">
        <v>42</v>
      </c>
      <c r="D68" s="42"/>
      <c r="E68" s="130">
        <v>2</v>
      </c>
      <c r="F68" s="130">
        <v>3</v>
      </c>
      <c r="G68" s="130"/>
      <c r="H68" s="130"/>
      <c r="I68" s="130"/>
      <c r="J68" s="130"/>
      <c r="K68" s="130"/>
      <c r="L68" s="130"/>
      <c r="M68" s="235" t="str">
        <f>'2023 Satellite(s)'!N75</f>
        <v/>
      </c>
      <c r="N68" s="55">
        <f>IF(COUNT(E68:M68),SUM(E68:M68),"")</f>
        <v>5</v>
      </c>
      <c r="O68" s="170" t="str">
        <f>IF(P68=1, "&lt;===", "")</f>
        <v/>
      </c>
      <c r="P68" s="174" t="str">
        <f>IF(OR(AND(E59&lt;&gt;"",E68="",D411&lt;&gt;""),AND(F59&lt;&gt;"",F68="",D411&lt;&gt;""),AND(G59&lt;&gt;"",G68="",D411&lt;&gt;""),AND(H59&lt;&gt;"",H68="",D411&lt;&gt;""),AND(I59&lt;&gt;"",I68="",D411&lt;&gt;""),AND(J59&lt;&gt;"",J68="",D411&lt;&gt;""),AND(K59&lt;&gt;"",K68="",D411&lt;&gt;""),AND(L59&lt;&gt;"",L68="",D411&lt;&gt;""),AND(M59&lt;&gt;"",M68="",D411&lt;&gt;"")), 1, "")</f>
        <v/>
      </c>
      <c r="Q68" s="63"/>
      <c r="R68" s="541"/>
      <c r="S68" s="541"/>
      <c r="T68" s="541"/>
      <c r="U68" s="541"/>
      <c r="V68" s="541"/>
      <c r="W68" s="541"/>
      <c r="X68" s="541"/>
      <c r="Y68" s="541"/>
      <c r="Z68" s="541"/>
      <c r="AF68" s="167"/>
      <c r="AR68" s="447"/>
      <c r="AS68" s="447"/>
      <c r="AT68" s="447"/>
      <c r="AU68" s="447"/>
      <c r="AV68" s="447"/>
      <c r="AW68" s="447"/>
      <c r="AX68" s="447"/>
      <c r="BA68" s="447"/>
      <c r="BB68" s="447"/>
      <c r="BC68" s="447"/>
      <c r="BD68" s="447"/>
      <c r="BE68" s="447"/>
      <c r="BF68" s="447"/>
      <c r="BG68" s="447"/>
      <c r="BJ68" s="447"/>
      <c r="BK68" s="447"/>
      <c r="BL68" s="447"/>
      <c r="BM68" s="447"/>
      <c r="BN68" s="447"/>
      <c r="BO68" s="447"/>
      <c r="BP68" s="447"/>
    </row>
    <row r="69" spans="2:84" ht="25.5" customHeight="1" x14ac:dyDescent="0.35">
      <c r="B69" s="546" t="s">
        <v>40</v>
      </c>
      <c r="C69" s="547"/>
      <c r="D69" s="548"/>
      <c r="E69" s="153" t="str">
        <f>IF(OR(E66="",E67="",E68=""),"",SUM(E66:E68))</f>
        <v/>
      </c>
      <c r="F69" s="153" t="str">
        <f>IF(OR(F66="",F67="",F68=""),"",SUM(F66:F68))</f>
        <v/>
      </c>
      <c r="G69" s="153" t="str">
        <f t="shared" ref="G69:M69" si="1">IF(OR(G66="",G67="",G68=""),"",SUM(G66:G68))</f>
        <v/>
      </c>
      <c r="H69" s="153" t="str">
        <f>IF(OR(H66="",H67="",H68=""),"",SUM(H66:H68))</f>
        <v/>
      </c>
      <c r="I69" s="153" t="str">
        <f t="shared" si="1"/>
        <v/>
      </c>
      <c r="J69" s="153" t="str">
        <f>IF(OR(J66="",J67="",J68=""),"",SUM(J66:J68))</f>
        <v/>
      </c>
      <c r="K69" s="153" t="str">
        <f t="shared" si="1"/>
        <v/>
      </c>
      <c r="L69" s="153" t="str">
        <f t="shared" si="1"/>
        <v/>
      </c>
      <c r="M69" s="153" t="str">
        <f t="shared" si="1"/>
        <v/>
      </c>
      <c r="N69" s="151">
        <f>IF(COUNT(N66:N68),SUM(N66:N68),"")</f>
        <v>8</v>
      </c>
      <c r="P69" s="172"/>
      <c r="Q69" s="63"/>
      <c r="R69" s="541"/>
      <c r="S69" s="541"/>
      <c r="T69" s="541"/>
      <c r="U69" s="541"/>
      <c r="V69" s="541"/>
      <c r="W69" s="541"/>
      <c r="X69" s="541"/>
      <c r="Y69" s="541"/>
      <c r="Z69" s="541"/>
      <c r="AA69" s="217"/>
      <c r="AB69" s="217"/>
      <c r="AC69" s="217"/>
      <c r="AD69" s="217"/>
      <c r="AE69" s="217"/>
      <c r="AF69" s="217"/>
      <c r="AI69" s="397"/>
      <c r="AJ69" s="397"/>
      <c r="AK69" s="397"/>
      <c r="AL69" s="397"/>
      <c r="AM69" s="397"/>
      <c r="AN69" s="397"/>
      <c r="AO69" s="397"/>
      <c r="AR69" s="447"/>
      <c r="AS69" s="447"/>
      <c r="AT69" s="447"/>
      <c r="AU69" s="447"/>
      <c r="AV69" s="447"/>
      <c r="AW69" s="447"/>
      <c r="AX69" s="447"/>
      <c r="BA69" s="447"/>
      <c r="BB69" s="447"/>
      <c r="BC69" s="447"/>
      <c r="BD69" s="447"/>
      <c r="BE69" s="447"/>
      <c r="BF69" s="447"/>
      <c r="BG69" s="447"/>
      <c r="BJ69" s="447"/>
      <c r="BK69" s="447"/>
      <c r="BL69" s="447"/>
      <c r="BM69" s="447"/>
      <c r="BN69" s="447"/>
      <c r="BO69" s="447"/>
      <c r="BP69" s="447"/>
    </row>
    <row r="70" spans="2:84" ht="24.75" customHeight="1" x14ac:dyDescent="0.35">
      <c r="B70" s="542" t="str">
        <f>"Total Attrition " &amp;D4</f>
        <v>Total Attrition 2023</v>
      </c>
      <c r="C70" s="543"/>
      <c r="D70" s="544"/>
      <c r="E70" s="152" t="str">
        <f>IF(OR(E59=0,E64="",E69=""),"",(SUM(E64,E69)))</f>
        <v/>
      </c>
      <c r="F70" s="152" t="str">
        <f t="shared" ref="F70:M70" si="2">IF(OR(F59=0,F64="",F69=""),"",(SUM(F64,F69)))</f>
        <v/>
      </c>
      <c r="G70" s="152" t="str">
        <f t="shared" si="2"/>
        <v/>
      </c>
      <c r="H70" s="152" t="str">
        <f t="shared" si="2"/>
        <v/>
      </c>
      <c r="I70" s="152" t="str">
        <f t="shared" si="2"/>
        <v/>
      </c>
      <c r="J70" s="152" t="str">
        <f t="shared" si="2"/>
        <v/>
      </c>
      <c r="K70" s="152" t="str">
        <f t="shared" si="2"/>
        <v/>
      </c>
      <c r="L70" s="152" t="str">
        <f t="shared" si="2"/>
        <v/>
      </c>
      <c r="M70" s="152" t="str">
        <f t="shared" si="2"/>
        <v/>
      </c>
      <c r="N70" s="152" t="str">
        <f>IF(COUNT(E70:M70),SUM(E70:M70),"")</f>
        <v/>
      </c>
      <c r="P70" s="173"/>
      <c r="Q70" s="63"/>
      <c r="R70" s="541"/>
      <c r="S70" s="541"/>
      <c r="T70" s="541"/>
      <c r="U70" s="541"/>
      <c r="V70" s="541"/>
      <c r="W70" s="541"/>
      <c r="X70" s="541"/>
      <c r="Y70" s="541"/>
      <c r="Z70" s="541"/>
      <c r="AA70" s="217"/>
      <c r="AB70" s="217"/>
      <c r="AC70" s="217"/>
      <c r="AD70" s="217"/>
      <c r="AE70" s="217"/>
      <c r="AF70" s="217"/>
      <c r="AI70" s="397"/>
      <c r="AJ70" s="397"/>
      <c r="AK70" s="397"/>
      <c r="AL70" s="397"/>
      <c r="AM70" s="397"/>
      <c r="AN70" s="397"/>
      <c r="AO70" s="397"/>
      <c r="AR70" s="447"/>
      <c r="AS70" s="447"/>
      <c r="AT70" s="447"/>
      <c r="AU70" s="447"/>
      <c r="AV70" s="447"/>
      <c r="AW70" s="447"/>
      <c r="AX70" s="447"/>
      <c r="BA70" s="447"/>
      <c r="BB70" s="447"/>
      <c r="BC70" s="447"/>
      <c r="BD70" s="447"/>
      <c r="BE70" s="447"/>
      <c r="BF70" s="447"/>
      <c r="BG70" s="447"/>
      <c r="BJ70" s="447"/>
      <c r="BK70" s="447"/>
      <c r="BL70" s="447"/>
      <c r="BM70" s="447"/>
      <c r="BN70" s="447"/>
      <c r="BO70" s="447"/>
      <c r="BP70" s="447"/>
    </row>
    <row r="71" spans="2:84" ht="24.75" customHeight="1" thickBot="1" x14ac:dyDescent="0.4">
      <c r="B71" s="139" t="str">
        <f>"Total Graduates " &amp;D4</f>
        <v>Total Graduates 2023</v>
      </c>
      <c r="C71" s="140"/>
      <c r="D71" s="140"/>
      <c r="E71" s="141" t="str">
        <f>IF(OR(E59=0,E64="",E69=""),"",(E59-(SUM(E64,E69))))</f>
        <v/>
      </c>
      <c r="F71" s="141" t="str">
        <f t="shared" ref="F71:M71" si="3">IF(OR(F59=0,F64="",F69=""),"",(F59-(SUM(F64,F69))))</f>
        <v/>
      </c>
      <c r="G71" s="141" t="str">
        <f t="shared" si="3"/>
        <v/>
      </c>
      <c r="H71" s="141" t="str">
        <f t="shared" si="3"/>
        <v/>
      </c>
      <c r="I71" s="141" t="str">
        <f t="shared" si="3"/>
        <v/>
      </c>
      <c r="J71" s="141" t="str">
        <f t="shared" si="3"/>
        <v/>
      </c>
      <c r="K71" s="141" t="str">
        <f t="shared" si="3"/>
        <v/>
      </c>
      <c r="L71" s="141" t="str">
        <f t="shared" si="3"/>
        <v/>
      </c>
      <c r="M71" s="141" t="str">
        <f t="shared" si="3"/>
        <v/>
      </c>
      <c r="N71" s="141" t="str">
        <f>IF(COUNT(E71:M71),SUM(E71:M71),"")</f>
        <v/>
      </c>
      <c r="O71" s="9"/>
      <c r="P71" s="193"/>
      <c r="Q71" s="63"/>
      <c r="R71" s="541"/>
      <c r="S71" s="541"/>
      <c r="T71" s="541"/>
      <c r="U71" s="541"/>
      <c r="V71" s="541"/>
      <c r="W71" s="541"/>
      <c r="X71" s="541"/>
      <c r="Y71" s="541"/>
      <c r="Z71" s="541"/>
      <c r="AA71" s="284"/>
      <c r="AB71" s="284"/>
      <c r="AC71" s="284"/>
      <c r="AD71" s="284"/>
      <c r="AE71" s="284"/>
      <c r="AF71" s="284"/>
      <c r="AG71" s="197"/>
      <c r="AI71" s="447"/>
      <c r="AJ71" s="447"/>
      <c r="AK71" s="447"/>
      <c r="AL71" s="447"/>
      <c r="AM71" s="447"/>
      <c r="AN71" s="447"/>
      <c r="AO71" s="447"/>
      <c r="AP71" s="197"/>
      <c r="AR71" s="447"/>
      <c r="AS71" s="447"/>
      <c r="AT71" s="447"/>
      <c r="AU71" s="447"/>
      <c r="AV71" s="447"/>
      <c r="AW71" s="447"/>
      <c r="AX71" s="447"/>
      <c r="AY71" s="197" t="e">
        <f>IF(AY72=1,"&lt;===", "")</f>
        <v>#VALUE!</v>
      </c>
      <c r="BA71" s="447"/>
      <c r="BB71" s="447"/>
      <c r="BC71" s="447"/>
      <c r="BD71" s="447"/>
      <c r="BE71" s="447"/>
      <c r="BF71" s="447"/>
      <c r="BG71" s="447"/>
      <c r="BH71" s="197"/>
      <c r="BJ71" s="447"/>
      <c r="BK71" s="447"/>
      <c r="BL71" s="447"/>
      <c r="BM71" s="447"/>
      <c r="BN71" s="447"/>
      <c r="BO71" s="447"/>
      <c r="BP71" s="447"/>
      <c r="BQ71" s="197"/>
    </row>
    <row r="72" spans="2:84" ht="22" customHeight="1" thickTop="1" x14ac:dyDescent="0.35">
      <c r="B72" s="532" t="s">
        <v>43</v>
      </c>
      <c r="C72" s="533"/>
      <c r="D72" s="19"/>
      <c r="E72" s="144">
        <f>IF(AND(E64="",E69=""),"",IFERROR(SUM(E61,E62,E63,E66,E67,E68)/E59,""))</f>
        <v>0.25</v>
      </c>
      <c r="F72" s="144" t="str">
        <f t="shared" ref="F72:M72" si="4">IF(AND(F64="",F69=""),"",IFERROR(SUM(F61,F62,F63,F66,F67,F68)/F59,""))</f>
        <v/>
      </c>
      <c r="G72" s="144" t="str">
        <f t="shared" si="4"/>
        <v/>
      </c>
      <c r="H72" s="144" t="str">
        <f t="shared" si="4"/>
        <v/>
      </c>
      <c r="I72" s="144" t="str">
        <f t="shared" si="4"/>
        <v/>
      </c>
      <c r="J72" s="144" t="str">
        <f t="shared" si="4"/>
        <v/>
      </c>
      <c r="K72" s="144" t="str">
        <f t="shared" si="4"/>
        <v/>
      </c>
      <c r="L72" s="144" t="str">
        <f t="shared" si="4"/>
        <v/>
      </c>
      <c r="M72" s="205" t="str">
        <f t="shared" si="4"/>
        <v/>
      </c>
      <c r="N72" s="145" t="e">
        <f>IF(N71&lt;&gt;"",1-N73,IF(N73=0,"",""))</f>
        <v>#VALUE!</v>
      </c>
      <c r="O72" s="155"/>
      <c r="P72" s="173"/>
      <c r="Q72" s="63"/>
      <c r="R72" s="541"/>
      <c r="S72" s="541"/>
      <c r="T72" s="541"/>
      <c r="U72" s="541"/>
      <c r="V72" s="541"/>
      <c r="W72" s="541"/>
      <c r="X72" s="541"/>
      <c r="Y72" s="541"/>
      <c r="Z72" s="541"/>
      <c r="AA72" s="284"/>
      <c r="AB72" s="284"/>
      <c r="AC72" s="284"/>
      <c r="AD72" s="284"/>
      <c r="AE72" s="284"/>
      <c r="AF72" s="284"/>
      <c r="AG72" s="167"/>
      <c r="AI72" s="447"/>
      <c r="AJ72" s="447"/>
      <c r="AK72" s="447"/>
      <c r="AL72" s="447"/>
      <c r="AM72" s="447"/>
      <c r="AN72" s="447"/>
      <c r="AO72" s="447"/>
      <c r="AP72" s="167"/>
      <c r="AR72" s="447"/>
      <c r="AS72" s="447"/>
      <c r="AT72" s="447"/>
      <c r="AU72" s="447"/>
      <c r="AV72" s="447"/>
      <c r="AW72" s="447"/>
      <c r="AX72" s="447"/>
      <c r="AY72" s="167" t="e">
        <f>IF(AND(P54&lt;&gt;"", AR65&lt;&gt;"",AR65&lt;&gt;"          Proceed to the next question to the right ==&gt;",AR67="",D411&lt;&gt;""),1,"")</f>
        <v>#VALUE!</v>
      </c>
      <c r="BA72" s="447"/>
      <c r="BB72" s="447"/>
      <c r="BC72" s="447"/>
      <c r="BD72" s="447"/>
      <c r="BE72" s="447"/>
      <c r="BF72" s="447"/>
      <c r="BG72" s="447"/>
      <c r="BH72" s="167"/>
      <c r="BJ72" s="447"/>
      <c r="BK72" s="447"/>
      <c r="BL72" s="447"/>
      <c r="BM72" s="447"/>
      <c r="BN72" s="447"/>
      <c r="BO72" s="447"/>
      <c r="BP72" s="447"/>
      <c r="BQ72" s="167"/>
    </row>
    <row r="73" spans="2:84" ht="26.25" customHeight="1" x14ac:dyDescent="0.35">
      <c r="B73" s="534" t="s">
        <v>44</v>
      </c>
      <c r="C73" s="535"/>
      <c r="D73" s="536"/>
      <c r="E73" s="146" t="str">
        <f>IF(E71&lt;&gt;"",1-E72,IF(E72=0,"",""))</f>
        <v/>
      </c>
      <c r="F73" s="146" t="str">
        <f>IF(F71&lt;&gt;"",1-F72,IF(F72=0,"",""))</f>
        <v/>
      </c>
      <c r="G73" s="146" t="str">
        <f>IF(G71&lt;&gt;"",1-G72,IF(G72=0,"",""))</f>
        <v/>
      </c>
      <c r="H73" s="146" t="str">
        <f t="shared" ref="H73:M73" si="5">IF(H71&lt;&gt;"",1-H72,IF(H72=0,"",""))</f>
        <v/>
      </c>
      <c r="I73" s="146" t="str">
        <f t="shared" si="5"/>
        <v/>
      </c>
      <c r="J73" s="146" t="str">
        <f t="shared" si="5"/>
        <v/>
      </c>
      <c r="K73" s="146" t="str">
        <f t="shared" si="5"/>
        <v/>
      </c>
      <c r="L73" s="146" t="str">
        <f t="shared" si="5"/>
        <v/>
      </c>
      <c r="M73" s="147" t="str">
        <f t="shared" si="5"/>
        <v/>
      </c>
      <c r="N73" s="148" t="e">
        <f>IF(AND(N59&lt;&gt;"",N64&lt;&gt;"",N69&lt;&gt;""),N71/N59,0)</f>
        <v>#VALUE!</v>
      </c>
      <c r="O73" s="170"/>
      <c r="P73" s="171"/>
      <c r="Q73" s="63"/>
      <c r="R73" s="541"/>
      <c r="S73" s="541"/>
      <c r="T73" s="541"/>
      <c r="U73" s="541"/>
      <c r="V73" s="541"/>
      <c r="W73" s="541"/>
      <c r="X73" s="541"/>
      <c r="Y73" s="541"/>
      <c r="Z73" s="541"/>
      <c r="AA73" s="284"/>
      <c r="AB73" s="284"/>
      <c r="AC73" s="284"/>
      <c r="AD73" s="284"/>
      <c r="AE73" s="284"/>
      <c r="AF73" s="284"/>
      <c r="AI73" s="447"/>
      <c r="AJ73" s="447"/>
      <c r="AK73" s="447"/>
      <c r="AL73" s="447"/>
      <c r="AM73" s="447"/>
      <c r="AN73" s="447"/>
      <c r="AO73" s="447"/>
      <c r="AR73" s="447"/>
      <c r="AS73" s="447"/>
      <c r="AT73" s="447"/>
      <c r="AU73" s="447"/>
      <c r="AV73" s="447"/>
      <c r="AW73" s="447"/>
      <c r="AX73" s="447"/>
      <c r="BA73" s="447"/>
      <c r="BB73" s="447"/>
      <c r="BC73" s="447"/>
      <c r="BD73" s="447"/>
      <c r="BE73" s="447"/>
      <c r="BF73" s="447"/>
      <c r="BG73" s="447"/>
      <c r="BJ73" s="447"/>
      <c r="BK73" s="447"/>
      <c r="BL73" s="447"/>
      <c r="BM73" s="447"/>
      <c r="BN73" s="447"/>
      <c r="BO73" s="447"/>
      <c r="BP73" s="447"/>
    </row>
    <row r="74" spans="2:84" ht="55.5" customHeight="1" x14ac:dyDescent="0.35">
      <c r="B74" s="390" t="e">
        <f>IF(AND(N73&lt;0.7,B75="",N59&lt;&gt;"",N72&lt;&gt;0,'2023 Satellite(s)'!B82=""),"The outcome threshold of 70% has not been met.  
Completion of the analysis and action plan boxes to the right are required ==&gt;",IF(AND(N59&lt;&gt;"",B75="",N73&gt;=0.7,N72&lt;100%,'2023 Satellite(s)'!B82=""),"The outcome threshold of 70% has been met.  
Please complete the next table below.",""))</f>
        <v>#VALUE!</v>
      </c>
      <c r="C74" s="391"/>
      <c r="D74" s="391"/>
      <c r="E74" s="391"/>
      <c r="F74" s="391"/>
      <c r="G74" s="391"/>
      <c r="H74" s="391"/>
      <c r="I74" s="391"/>
      <c r="J74" s="391"/>
      <c r="K74" s="391"/>
      <c r="L74" s="391"/>
      <c r="M74" s="391"/>
      <c r="N74" s="392"/>
      <c r="Q74" s="63"/>
      <c r="R74" s="541"/>
      <c r="S74" s="541"/>
      <c r="T74" s="541"/>
      <c r="U74" s="541"/>
      <c r="V74" s="541"/>
      <c r="W74" s="541"/>
      <c r="X74" s="541"/>
      <c r="Y74" s="541"/>
      <c r="Z74" s="541"/>
      <c r="AA74" s="284"/>
      <c r="AB74" s="284"/>
      <c r="AC74" s="284"/>
      <c r="AD74" s="284"/>
      <c r="AE74" s="284"/>
      <c r="AF74" s="284"/>
      <c r="AI74" s="447"/>
      <c r="AJ74" s="447"/>
      <c r="AK74" s="447"/>
      <c r="AL74" s="447"/>
      <c r="AM74" s="447"/>
      <c r="AN74" s="447"/>
      <c r="AO74" s="447"/>
      <c r="AR74" s="447"/>
      <c r="AS74" s="447"/>
      <c r="AT74" s="447"/>
      <c r="AU74" s="447"/>
      <c r="AV74" s="447"/>
      <c r="AW74" s="447"/>
      <c r="AX74" s="447"/>
      <c r="BA74" s="447"/>
      <c r="BB74" s="447"/>
      <c r="BC74" s="447"/>
      <c r="BD74" s="447"/>
      <c r="BE74" s="447"/>
      <c r="BF74" s="447"/>
      <c r="BG74" s="447"/>
      <c r="BJ74" s="447"/>
      <c r="BK74" s="447"/>
      <c r="BL74" s="447"/>
      <c r="BM74" s="447"/>
      <c r="BN74" s="447"/>
      <c r="BO74" s="447"/>
      <c r="BP74" s="447"/>
    </row>
    <row r="75" spans="2:84" ht="51.75" customHeight="1" x14ac:dyDescent="0.35">
      <c r="B75" s="545" t="str">
        <f>IF(OR(AND(D4&lt;&gt;YEAR(E58),E58&lt;&gt;0),AND(D4&lt;&gt;YEAR(F58),F58&lt;&gt;0),AND(D4&lt;&gt;YEAR(G58),G58&lt;&gt;0),AND(D4&lt;&gt;YEAR(H58),H58&lt;&gt;0),AND(D4&lt;&gt;YEAR(I58),I58&lt;&gt;0),AND(D4&lt;&gt;YEAR(J58),J58&lt;&gt;0),AND(D4&lt;&gt;YEAR(K58),K58&lt;&gt;0),AND(D4&lt;&gt;YEAR(L58),L58&lt;&gt;0),AND(D4&lt;&gt;YEAR(M58),M58&lt;&gt;0)),"Error has occurred; Remove cohorts that do not graduate in the current year.",IF(OR(AND(E72&gt;100%,E71&lt;&gt;""),AND(F72&gt;100%,F71&lt;&gt;""),AND(G72&gt;100%,G71&lt;&gt;""),AND(H72&gt;100%,H71&lt;&gt;""),AND(I72&gt;100%,I71&lt;&gt;""),AND(J72&gt;100%,J71&lt;&gt;""),AND(K72&gt;100%,K71&lt;&gt;""),AND(L72&gt;100%,L71&lt;&gt;""),AND(M72&gt;100%,M71&lt;&gt;"")),"Error has occurred; Total number of graduates cannot be greater than the total number of students in the cohort",IF(OR(AND(E59&lt;&gt;"",E71="",E73=""),AND(F59&lt;&gt;"",F71="",F73=""),AND(G59&lt;&gt;"",G71="",G73=""),AND(H59&lt;&gt;"",H71="",H73=""),AND(I59&lt;&gt;"",I71="",I73=""),AND(J59&lt;&gt;"",J71="",J73=""),AND(K59&lt;&gt;"",K71="",K73=""),AND(L59&lt;&gt;"",L71="",L73=""),AND(M59&lt;&gt;"",M71="",M73="")),"Please Note: An empty or blank cell is not the same as a zero.",IF('2023 Satellite(s)'!B82&lt;&gt;"","Error has occurred; See Satellite(s) tab.",IF(AND(N59="",N69&lt;&gt;"",N71="",D411&lt;&gt;""),"Please Note: Enrollment must be completed in order for the outcomes tables to calculate correctly.","")))))</f>
        <v>Error has occurred; Remove cohorts that do not graduate in the current year.</v>
      </c>
      <c r="C75" s="545"/>
      <c r="D75" s="545"/>
      <c r="E75" s="545"/>
      <c r="F75" s="545"/>
      <c r="G75" s="545"/>
      <c r="H75" s="545"/>
      <c r="I75" s="545"/>
      <c r="J75" s="545"/>
      <c r="K75" s="545"/>
      <c r="L75" s="545"/>
      <c r="M75" s="545"/>
      <c r="N75" s="545"/>
      <c r="Q75" s="63"/>
      <c r="R75" s="541"/>
      <c r="S75" s="541"/>
      <c r="T75" s="541"/>
      <c r="U75" s="541"/>
      <c r="V75" s="541"/>
      <c r="W75" s="541"/>
      <c r="X75" s="541"/>
      <c r="Y75" s="541"/>
      <c r="Z75" s="541"/>
      <c r="AA75" s="284"/>
      <c r="AB75" s="284"/>
      <c r="AC75" s="284"/>
      <c r="AD75" s="284"/>
      <c r="AE75" s="284"/>
      <c r="AF75" s="284"/>
      <c r="AI75" s="447"/>
      <c r="AJ75" s="447"/>
      <c r="AK75" s="447"/>
      <c r="AL75" s="447"/>
      <c r="AM75" s="447"/>
      <c r="AN75" s="447"/>
      <c r="AO75" s="447"/>
      <c r="AR75" s="447"/>
      <c r="AS75" s="447"/>
      <c r="AT75" s="447"/>
      <c r="AU75" s="447"/>
      <c r="AV75" s="447"/>
      <c r="AW75" s="447"/>
      <c r="AX75" s="447"/>
      <c r="BA75" s="447"/>
      <c r="BB75" s="447"/>
      <c r="BC75" s="447"/>
      <c r="BD75" s="447"/>
      <c r="BE75" s="447"/>
      <c r="BF75" s="447"/>
      <c r="BG75" s="447"/>
      <c r="BJ75" s="447"/>
      <c r="BK75" s="447"/>
      <c r="BL75" s="447"/>
      <c r="BM75" s="447"/>
      <c r="BN75" s="447"/>
      <c r="BO75" s="447"/>
      <c r="BP75" s="447"/>
    </row>
    <row r="76" spans="2:84" ht="114.75" customHeight="1" x14ac:dyDescent="0.35">
      <c r="B76" s="444" t="s">
        <v>135</v>
      </c>
      <c r="C76" s="445"/>
      <c r="D76" s="445"/>
      <c r="E76" s="445"/>
      <c r="F76" s="445"/>
      <c r="G76" s="445"/>
      <c r="H76" s="445"/>
      <c r="I76" s="445"/>
      <c r="J76" s="445"/>
      <c r="K76" s="445"/>
      <c r="L76" s="445"/>
      <c r="M76" s="445"/>
      <c r="N76" s="446"/>
      <c r="Q76" s="63"/>
      <c r="R76" s="541"/>
      <c r="S76" s="541"/>
      <c r="T76" s="541"/>
      <c r="U76" s="541"/>
      <c r="V76" s="541"/>
      <c r="W76" s="541"/>
      <c r="X76" s="541"/>
      <c r="Y76" s="541"/>
      <c r="Z76" s="541"/>
      <c r="AA76" s="284"/>
      <c r="AB76" s="284"/>
      <c r="AC76" s="284"/>
      <c r="AD76" s="284"/>
      <c r="AE76" s="284"/>
      <c r="AF76" s="284"/>
      <c r="AI76" s="447"/>
      <c r="AJ76" s="447"/>
      <c r="AK76" s="447"/>
      <c r="AL76" s="447"/>
      <c r="AM76" s="447"/>
      <c r="AN76" s="447"/>
      <c r="AO76" s="447"/>
      <c r="AR76" s="447"/>
      <c r="AS76" s="447"/>
      <c r="AT76" s="447"/>
      <c r="AU76" s="447"/>
      <c r="AV76" s="447"/>
      <c r="AW76" s="447"/>
      <c r="AX76" s="447"/>
      <c r="BA76" s="447"/>
      <c r="BB76" s="447"/>
      <c r="BC76" s="447"/>
      <c r="BD76" s="447"/>
      <c r="BE76" s="447"/>
      <c r="BF76" s="447"/>
      <c r="BG76" s="447"/>
      <c r="BJ76" s="447"/>
      <c r="BK76" s="447"/>
      <c r="BL76" s="447"/>
      <c r="BM76" s="447"/>
      <c r="BN76" s="447"/>
      <c r="BO76" s="447"/>
      <c r="BP76" s="447"/>
    </row>
    <row r="79" spans="2:84" ht="24" customHeight="1" x14ac:dyDescent="0.35">
      <c r="C79" s="168">
        <f>$D$16</f>
        <v>600000</v>
      </c>
      <c r="D79" s="453" t="str">
        <f>$D$18</f>
        <v>Accordance Community College</v>
      </c>
      <c r="E79" s="453"/>
      <c r="F79" s="453"/>
      <c r="G79" s="453"/>
      <c r="H79" s="453"/>
      <c r="I79" s="453"/>
      <c r="J79" s="453"/>
      <c r="K79" s="453"/>
      <c r="Q79" s="281"/>
      <c r="R79" s="281"/>
      <c r="S79" s="281"/>
      <c r="T79" s="281"/>
      <c r="U79" s="281"/>
      <c r="V79" s="281"/>
      <c r="W79" s="281"/>
      <c r="X79" s="281"/>
      <c r="Y79" s="281"/>
      <c r="Z79" s="281"/>
      <c r="AA79" s="281"/>
      <c r="AB79" s="281"/>
      <c r="AI79" s="281"/>
      <c r="AJ79" s="281"/>
      <c r="AK79" s="281"/>
      <c r="AL79" s="281"/>
      <c r="AM79" s="281"/>
      <c r="AN79" s="281"/>
      <c r="AO79" s="281"/>
      <c r="AP79" s="281"/>
      <c r="AQ79" s="281"/>
      <c r="AR79" s="281"/>
      <c r="AS79" s="281"/>
      <c r="AT79" s="281"/>
      <c r="BA79" s="281"/>
      <c r="BB79" s="281"/>
      <c r="BC79" s="281"/>
      <c r="BD79" s="281"/>
      <c r="BE79" s="281"/>
      <c r="BF79" s="281"/>
      <c r="BG79" s="281"/>
      <c r="BH79" s="281"/>
      <c r="BI79" s="281"/>
      <c r="BJ79" s="281"/>
      <c r="BK79" s="281"/>
      <c r="BL79" s="281"/>
      <c r="BT79" s="373"/>
      <c r="BU79" s="373"/>
      <c r="BV79" s="422"/>
      <c r="BW79" s="422"/>
      <c r="BX79" s="422"/>
      <c r="BY79" s="422"/>
      <c r="BZ79" s="422"/>
      <c r="CA79" s="282"/>
      <c r="CB79" s="282"/>
      <c r="CC79" s="282"/>
      <c r="CD79" s="282"/>
      <c r="CE79" s="282"/>
      <c r="CF79" s="156"/>
    </row>
    <row r="80" spans="2:84" x14ac:dyDescent="0.35">
      <c r="E80" s="121"/>
      <c r="J80" s="192"/>
      <c r="K80" s="192"/>
      <c r="P80" s="448" t="str">
        <f>IF(P83&lt;&gt;"",$D$16,"")</f>
        <v/>
      </c>
      <c r="Q80" s="448"/>
      <c r="R80" s="422" t="str">
        <f>IF(P83&lt;&gt;"",$D$18,"")</f>
        <v/>
      </c>
      <c r="S80" s="422"/>
      <c r="T80" s="422"/>
      <c r="U80" s="422"/>
      <c r="V80" s="422"/>
      <c r="W80" s="422"/>
      <c r="X80" s="422"/>
      <c r="Y80" s="422"/>
      <c r="Z80" s="422"/>
      <c r="AA80" s="422"/>
      <c r="AK80" s="281"/>
      <c r="AL80" s="281"/>
      <c r="AM80" s="281"/>
      <c r="AN80" s="281"/>
      <c r="AO80" s="281"/>
      <c r="BD80" s="281"/>
      <c r="BE80" s="281"/>
      <c r="BF80" s="281"/>
      <c r="BG80" s="281"/>
      <c r="BH80" s="281"/>
      <c r="BL80" s="219"/>
      <c r="CA80" s="282"/>
      <c r="CB80" s="282"/>
      <c r="CC80" s="282"/>
      <c r="CD80" s="282"/>
      <c r="CE80" s="282"/>
    </row>
    <row r="81" spans="2:88" ht="42.75" customHeight="1" x14ac:dyDescent="0.35">
      <c r="B81" s="451" t="str">
        <f>IF(OR(G37="Yes",G46="Yes"),"Are results being reported for both the National Registry &amp; State Written Examinations?","")</f>
        <v>Are results being reported for both the National Registry &amp; State Written Examinations?</v>
      </c>
      <c r="C81" s="451"/>
      <c r="D81" s="451"/>
      <c r="E81" s="451"/>
      <c r="F81" s="451"/>
      <c r="G81" s="452" t="s">
        <v>163</v>
      </c>
      <c r="H81" s="452"/>
      <c r="I81" s="16"/>
      <c r="J81" s="179"/>
      <c r="K81" s="16"/>
      <c r="O81" s="170" t="str">
        <f>IF(P81=1,"&lt;===", "")</f>
        <v/>
      </c>
      <c r="P81" s="307" t="str">
        <f>IF(AND(G37="Yes",G81="Please Select", D411&lt;&gt;""), 1, "")</f>
        <v/>
      </c>
      <c r="R81" s="288" t="str">
        <f>IF(P83&lt;&gt;"","Written Examination","")</f>
        <v/>
      </c>
      <c r="S81" s="281"/>
      <c r="T81" s="281"/>
      <c r="U81" s="344" t="str">
        <f>IF(P83&lt;&gt;"","          Link to Available Resource Document      (optional)
CoAEMSP website =&gt; Resource Library =&gt; Instruments &amp; Forms","")</f>
        <v/>
      </c>
      <c r="V81" s="344"/>
      <c r="W81" s="344"/>
      <c r="X81" s="344"/>
      <c r="Y81" s="344"/>
      <c r="Z81" s="344"/>
      <c r="AK81" s="281"/>
      <c r="AL81" s="281"/>
      <c r="AM81" s="281"/>
      <c r="AN81" s="281"/>
      <c r="AO81" s="281"/>
      <c r="BC81" s="281"/>
      <c r="BD81" s="281"/>
      <c r="BE81" s="281"/>
      <c r="BF81" s="281"/>
      <c r="BG81" s="281"/>
      <c r="BV81" s="422"/>
      <c r="BW81" s="422"/>
      <c r="BX81" s="422"/>
      <c r="BY81" s="422"/>
      <c r="BZ81" s="422"/>
      <c r="CA81" s="282"/>
      <c r="CB81" s="282"/>
      <c r="CC81" s="282"/>
      <c r="CD81" s="282"/>
      <c r="CE81" s="282"/>
      <c r="CG81" s="310"/>
      <c r="CH81" s="310"/>
      <c r="CI81" s="310"/>
      <c r="CJ81" s="310"/>
    </row>
    <row r="82" spans="2:88" ht="16.5" customHeight="1" x14ac:dyDescent="0.35">
      <c r="B82" s="451"/>
      <c r="C82" s="451"/>
      <c r="D82" s="451"/>
      <c r="E82" s="451"/>
      <c r="F82" s="451"/>
      <c r="G82" s="452"/>
      <c r="H82" s="452"/>
      <c r="J82" s="16"/>
      <c r="P82" s="167"/>
      <c r="V82" s="442" t="str">
        <f>IF(P83&lt;&gt;"","Program Review &amp; Analysis","")</f>
        <v/>
      </c>
      <c r="W82" s="442"/>
      <c r="X82" s="442"/>
      <c r="CA82" s="282"/>
      <c r="CB82" s="282"/>
      <c r="CC82" s="282"/>
      <c r="CD82" s="282"/>
      <c r="CE82" s="282"/>
      <c r="CG82" s="310"/>
      <c r="CH82" s="310"/>
      <c r="CI82" s="310"/>
      <c r="CJ82" s="310"/>
    </row>
    <row r="83" spans="2:88" ht="18.75" customHeight="1" x14ac:dyDescent="0.35">
      <c r="B83" s="439"/>
      <c r="C83" s="439"/>
      <c r="D83" s="439"/>
      <c r="E83" s="439"/>
      <c r="F83" s="313"/>
      <c r="G83" s="439"/>
      <c r="H83" s="439"/>
      <c r="J83" s="179"/>
      <c r="O83" s="170"/>
      <c r="P83" s="423" t="str">
        <f>IF(AND(B97="The outcome threshold of 70% has not been met.  
Completion of the analysis and action plan boxes to the right are required ==&gt;",B98=""),"1)","")</f>
        <v/>
      </c>
      <c r="Q83" s="190"/>
      <c r="R83" s="190"/>
      <c r="S83" s="190"/>
      <c r="T83" s="190"/>
      <c r="U83" s="190"/>
      <c r="V83" s="190"/>
      <c r="W83" s="190"/>
      <c r="X83" s="155"/>
      <c r="Z83" s="217"/>
      <c r="AA83" s="217"/>
      <c r="AB83" s="217"/>
      <c r="AC83" s="217"/>
      <c r="AD83" s="217"/>
      <c r="AE83" s="217"/>
      <c r="AF83" s="217"/>
      <c r="AG83" s="190"/>
      <c r="AI83" s="190"/>
      <c r="AJ83" s="190"/>
      <c r="AK83" s="190"/>
      <c r="AL83" s="190"/>
      <c r="AM83" s="190"/>
      <c r="AN83" s="190"/>
      <c r="AO83" s="190"/>
      <c r="AQ83" s="414"/>
      <c r="AR83" s="190"/>
      <c r="AS83" s="190"/>
      <c r="AT83" s="190"/>
      <c r="AU83" s="190"/>
      <c r="AV83" s="190"/>
      <c r="AW83" s="190"/>
      <c r="AX83" s="190"/>
      <c r="AY83" s="190"/>
      <c r="AZ83" s="414"/>
      <c r="BA83" s="190"/>
      <c r="BB83" s="190"/>
      <c r="BC83" s="190"/>
      <c r="BD83" s="190"/>
      <c r="BE83" s="190"/>
      <c r="BF83" s="190"/>
      <c r="BG83" s="190"/>
      <c r="BJ83" s="190"/>
      <c r="BK83" s="190"/>
      <c r="BL83" s="190"/>
      <c r="BM83" s="190"/>
      <c r="BN83" s="190"/>
      <c r="BO83" s="190"/>
      <c r="BP83" s="190"/>
    </row>
    <row r="84" spans="2:88" ht="36.75" customHeight="1" x14ac:dyDescent="0.35">
      <c r="B84" s="440" t="str">
        <f>IF(G81="No","Which written examination results are being reported?", "")</f>
        <v>Which written examination results are being reported?</v>
      </c>
      <c r="C84" s="440"/>
      <c r="D84" s="440"/>
      <c r="E84" s="440"/>
      <c r="F84" s="440"/>
      <c r="G84" s="438" t="s">
        <v>164</v>
      </c>
      <c r="H84" s="438"/>
      <c r="I84" s="16"/>
      <c r="J84" s="16"/>
      <c r="K84" s="16"/>
      <c r="N84" s="167" t="str">
        <f>IF(OR(AND(G81="No", G84="", D411&lt;&gt;""), AND(G81="Yes",G84&lt;&gt;"",D411&lt;&gt;"")),1,"")</f>
        <v/>
      </c>
      <c r="O84" s="170" t="str">
        <f>IF(N84=1,"&lt;===", "")</f>
        <v/>
      </c>
      <c r="P84" s="423"/>
      <c r="Q84" s="190"/>
      <c r="R84" s="190"/>
      <c r="S84" s="190"/>
      <c r="T84" s="190"/>
      <c r="U84" s="190"/>
      <c r="V84" s="190"/>
      <c r="W84" s="190"/>
      <c r="X84" s="155"/>
      <c r="Z84" s="217"/>
      <c r="AA84" s="217"/>
      <c r="AB84" s="217"/>
      <c r="AC84" s="217"/>
      <c r="AD84" s="217"/>
      <c r="AE84" s="217"/>
      <c r="AF84" s="217"/>
      <c r="AG84" s="190"/>
      <c r="AH84" s="189"/>
      <c r="AI84" s="190"/>
      <c r="AJ84" s="190"/>
      <c r="AK84" s="190"/>
      <c r="AL84" s="190"/>
      <c r="AM84" s="190"/>
      <c r="AN84" s="190"/>
      <c r="AO84" s="190"/>
      <c r="AP84" s="155"/>
      <c r="AQ84" s="414"/>
      <c r="AR84" s="190"/>
      <c r="AS84" s="190"/>
      <c r="AT84" s="190"/>
      <c r="AU84" s="190"/>
      <c r="AV84" s="190"/>
      <c r="AW84" s="190"/>
      <c r="AX84" s="190"/>
      <c r="AY84" s="190"/>
      <c r="AZ84" s="414"/>
      <c r="BA84" s="190"/>
      <c r="BB84" s="190"/>
      <c r="BC84" s="190"/>
      <c r="BD84" s="190"/>
      <c r="BE84" s="190"/>
      <c r="BF84" s="190"/>
      <c r="BG84" s="190"/>
      <c r="BI84" s="189"/>
      <c r="BJ84" s="190"/>
      <c r="BK84" s="190"/>
      <c r="BL84" s="190"/>
      <c r="BM84" s="190"/>
      <c r="BN84" s="190"/>
      <c r="BO84" s="190"/>
      <c r="BP84" s="190"/>
      <c r="BQ84" s="155"/>
      <c r="BR84" s="155"/>
      <c r="BS84" s="155"/>
      <c r="BU84" s="189"/>
      <c r="BV84" s="155"/>
      <c r="BW84" s="155"/>
      <c r="BX84" s="155"/>
      <c r="BY84" s="155"/>
      <c r="BZ84" s="155"/>
      <c r="CA84" s="155"/>
      <c r="CB84" s="155"/>
      <c r="CC84" s="155"/>
      <c r="CD84" s="155"/>
      <c r="CE84" s="155"/>
    </row>
    <row r="85" spans="2:88" x14ac:dyDescent="0.35">
      <c r="O85" s="197" t="str">
        <f>IF(AND(G81="Yes",G84&lt;&gt;""),"Remove", "")</f>
        <v/>
      </c>
      <c r="P85" s="273"/>
      <c r="Q85" s="221"/>
      <c r="R85" s="221"/>
      <c r="S85" s="221"/>
      <c r="T85" s="155"/>
      <c r="U85" s="155"/>
      <c r="V85" s="155"/>
      <c r="W85" s="174"/>
      <c r="X85" s="61"/>
      <c r="Z85" s="284"/>
      <c r="AA85" s="284"/>
      <c r="AB85" s="284"/>
      <c r="AC85" s="284"/>
      <c r="AD85" s="284"/>
      <c r="AE85" s="284"/>
      <c r="AF85" s="284"/>
      <c r="AG85" s="201"/>
      <c r="AI85" s="284"/>
      <c r="AJ85" s="284"/>
      <c r="AK85" s="284"/>
      <c r="AL85" s="284"/>
      <c r="AM85" s="284"/>
      <c r="AN85" s="284"/>
      <c r="AO85" s="284"/>
      <c r="AP85" s="201"/>
      <c r="AR85" s="284"/>
      <c r="AS85" s="284"/>
      <c r="AT85" s="284"/>
      <c r="AU85" s="284"/>
      <c r="AV85" s="284"/>
      <c r="AW85" s="284"/>
      <c r="AX85" s="284"/>
      <c r="AY85" s="197"/>
      <c r="BA85" s="441"/>
      <c r="BB85" s="441"/>
      <c r="BG85" s="167"/>
      <c r="BH85" s="197"/>
      <c r="BJ85" s="441"/>
      <c r="BK85" s="441"/>
      <c r="BP85" s="167" t="str">
        <f>IF(AND(P83&lt;&gt;"",BJ85="Please Select",D411&lt;&gt;""),1, "")</f>
        <v/>
      </c>
      <c r="BQ85" s="197" t="str">
        <f>IF(BP85=1,"&lt;===", "")</f>
        <v/>
      </c>
      <c r="BV85" s="441"/>
      <c r="BW85" s="441"/>
      <c r="CE85" s="167" t="str">
        <f>IF(AND(P83&lt;&gt;"",BV85="Please Select",D411&lt;&gt;""),1, "")</f>
        <v/>
      </c>
      <c r="CF85" s="197" t="str">
        <f>IF(CE85=1,"&lt;===", "")</f>
        <v/>
      </c>
    </row>
    <row r="86" spans="2:88" ht="23.25" customHeight="1" x14ac:dyDescent="0.4">
      <c r="B86" s="30" t="s">
        <v>100</v>
      </c>
      <c r="C86" s="21"/>
      <c r="D86" s="21"/>
      <c r="E86" s="21"/>
      <c r="F86" s="21"/>
      <c r="G86" s="21"/>
      <c r="H86" s="21"/>
      <c r="I86" s="21"/>
      <c r="J86" s="21"/>
      <c r="K86" s="21"/>
      <c r="L86" s="21"/>
      <c r="M86" s="21"/>
      <c r="N86" s="22"/>
      <c r="Q86" s="64"/>
      <c r="R86" s="286" t="str">
        <f>IF(P83&lt;&gt;"","REQUIRED: A detailed ANALYSIS for the Written Examination outcome in the box below","")</f>
        <v/>
      </c>
      <c r="S86" s="64"/>
      <c r="T86" s="64"/>
      <c r="U86" s="64"/>
      <c r="V86" s="64"/>
      <c r="W86" s="64"/>
      <c r="X86" s="64"/>
      <c r="Z86" s="284"/>
      <c r="AA86" s="284"/>
      <c r="AB86" s="284"/>
      <c r="AC86" s="284"/>
      <c r="AD86" s="284"/>
      <c r="AE86" s="284"/>
      <c r="AF86" s="284"/>
      <c r="AG86" s="204"/>
      <c r="AI86" s="284"/>
      <c r="AJ86" s="284"/>
      <c r="AK86" s="284"/>
      <c r="AL86" s="284"/>
      <c r="AM86" s="284"/>
      <c r="AN86" s="284"/>
      <c r="AO86" s="284"/>
      <c r="AP86" s="204"/>
      <c r="AR86" s="284"/>
      <c r="AS86" s="284"/>
      <c r="AT86" s="284"/>
      <c r="AU86" s="284"/>
      <c r="AV86" s="284"/>
      <c r="AW86" s="284"/>
      <c r="AX86" s="284"/>
      <c r="AY86" s="167"/>
      <c r="BA86" s="190"/>
      <c r="BB86" s="190"/>
      <c r="BC86" s="190"/>
      <c r="BD86" s="190"/>
      <c r="BE86" s="190"/>
      <c r="BF86" s="190"/>
      <c r="BG86" s="190"/>
      <c r="BH86" s="62"/>
      <c r="BI86" s="62"/>
      <c r="BJ86" s="222"/>
      <c r="BK86" s="222"/>
      <c r="BL86" s="222"/>
      <c r="BM86" s="222"/>
      <c r="BN86" s="222"/>
      <c r="BO86" s="222"/>
      <c r="BP86" s="222"/>
      <c r="BQ86" s="222"/>
      <c r="BV86" s="217"/>
      <c r="BW86" s="217"/>
      <c r="BX86" s="217"/>
      <c r="BY86" s="217"/>
      <c r="BZ86" s="217"/>
      <c r="CA86" s="217"/>
      <c r="CB86" s="217"/>
      <c r="CC86" s="217"/>
      <c r="CD86" s="217"/>
      <c r="CE86" s="217"/>
    </row>
    <row r="87" spans="2:88" ht="62.25" customHeight="1" x14ac:dyDescent="0.35">
      <c r="B87" s="454" t="str">
        <f>"The Written Examination (National Registry/State) outcome threshold set by the CoAEMSP is 70%.  The success of any examination results will be computed using the most recent reporting year ("&amp;D4&amp;") based on the total number of graduates attempting the examination.  Each graduate should be reported only once."</f>
        <v>The Written Examination (National Registry/State) outcome threshold set by the CoAEMSP is 70%.  The success of any examination results will be computed using the most recent reporting year (2023) based on the total number of graduates attempting the examination.  Each graduate should be reported only once.</v>
      </c>
      <c r="C87" s="455"/>
      <c r="D87" s="455"/>
      <c r="E87" s="455"/>
      <c r="F87" s="455"/>
      <c r="G87" s="455"/>
      <c r="H87" s="455"/>
      <c r="I87" s="455"/>
      <c r="J87" s="455"/>
      <c r="K87" s="455"/>
      <c r="L87" s="455"/>
      <c r="M87" s="455"/>
      <c r="N87" s="456"/>
      <c r="P87" s="174"/>
      <c r="Q87" s="217"/>
      <c r="R87" s="420"/>
      <c r="S87" s="420"/>
      <c r="T87" s="420"/>
      <c r="U87" s="420"/>
      <c r="V87" s="420"/>
      <c r="W87" s="420"/>
      <c r="X87" s="420"/>
      <c r="Y87" s="420"/>
      <c r="Z87" s="420"/>
      <c r="AA87" s="201" t="str">
        <f>IF(AB87=1, "&lt;===", "")</f>
        <v/>
      </c>
      <c r="AB87" s="256" t="str">
        <f>IF(AND(P83&lt;&gt;"",R87="", D411&lt;&gt;""),1, "")</f>
        <v/>
      </c>
      <c r="AC87" s="284"/>
      <c r="AD87" s="284"/>
      <c r="AE87" s="284"/>
      <c r="AF87" s="284"/>
      <c r="AG87" s="284"/>
      <c r="AH87" s="61"/>
      <c r="AI87" s="284"/>
      <c r="AJ87" s="284"/>
      <c r="AK87" s="284"/>
      <c r="AL87" s="284"/>
      <c r="AM87" s="284"/>
      <c r="AN87" s="284"/>
      <c r="AO87" s="284"/>
      <c r="AP87" s="284"/>
      <c r="AR87" s="284"/>
      <c r="AS87" s="284"/>
      <c r="AT87" s="284"/>
      <c r="AU87" s="284"/>
      <c r="AV87" s="284"/>
      <c r="AW87" s="284"/>
      <c r="AX87" s="284"/>
      <c r="AY87" s="5"/>
      <c r="BA87" s="217"/>
      <c r="BB87" s="217"/>
      <c r="BC87" s="217"/>
      <c r="BD87" s="217"/>
      <c r="BE87" s="217"/>
      <c r="BF87" s="217"/>
      <c r="BG87" s="217"/>
      <c r="BJ87" s="284"/>
      <c r="BK87" s="284"/>
      <c r="BL87" s="284"/>
      <c r="BM87" s="284"/>
      <c r="BN87" s="284"/>
      <c r="BO87" s="284"/>
      <c r="BP87" s="284"/>
      <c r="BQ87" s="197"/>
      <c r="BR87" s="5"/>
      <c r="BS87" s="5"/>
      <c r="BV87" s="165"/>
      <c r="BW87" s="165"/>
      <c r="BX87" s="165"/>
      <c r="BY87" s="165"/>
      <c r="BZ87" s="165"/>
      <c r="CA87" s="165"/>
      <c r="CB87" s="165"/>
      <c r="CC87" s="165"/>
      <c r="CD87" s="165"/>
      <c r="CE87" s="165"/>
      <c r="CF87" s="197"/>
    </row>
    <row r="88" spans="2:88" ht="41.25" customHeight="1" x14ac:dyDescent="0.35">
      <c r="B88" s="435" t="s">
        <v>65</v>
      </c>
      <c r="C88" s="436"/>
      <c r="D88" s="437"/>
      <c r="E88" s="20" t="str">
        <f>E56</f>
        <v>Cohort 
#1:</v>
      </c>
      <c r="F88" s="20" t="str">
        <f t="shared" ref="F88:L88" si="6">F56</f>
        <v>Cohort 
#2:</v>
      </c>
      <c r="G88" s="20" t="str">
        <f t="shared" si="6"/>
        <v/>
      </c>
      <c r="H88" s="20" t="str">
        <f t="shared" si="6"/>
        <v/>
      </c>
      <c r="I88" s="20" t="str">
        <f t="shared" si="6"/>
        <v/>
      </c>
      <c r="J88" s="20" t="str">
        <f t="shared" si="6"/>
        <v/>
      </c>
      <c r="K88" s="20" t="str">
        <f t="shared" si="6"/>
        <v/>
      </c>
      <c r="L88" s="20" t="str">
        <f t="shared" si="6"/>
        <v/>
      </c>
      <c r="M88" s="20" t="str">
        <f>M56</f>
        <v>Satellites Data</v>
      </c>
      <c r="N88" s="20" t="s">
        <v>12</v>
      </c>
      <c r="Q88" s="11"/>
      <c r="R88" s="420"/>
      <c r="S88" s="420"/>
      <c r="T88" s="420"/>
      <c r="U88" s="420"/>
      <c r="V88" s="420"/>
      <c r="W88" s="420"/>
      <c r="X88" s="420"/>
      <c r="Y88" s="420"/>
      <c r="Z88" s="420"/>
      <c r="AA88" s="284"/>
      <c r="AB88" s="284"/>
      <c r="AC88" s="284"/>
      <c r="AD88" s="284"/>
      <c r="AE88" s="284"/>
      <c r="AF88" s="284"/>
      <c r="AG88" s="284"/>
      <c r="AI88" s="284"/>
      <c r="AJ88" s="284"/>
      <c r="AK88" s="284"/>
      <c r="AL88" s="284"/>
      <c r="AM88" s="284"/>
      <c r="AN88" s="284"/>
      <c r="AO88" s="284"/>
      <c r="AP88" s="284"/>
      <c r="AR88" s="284"/>
      <c r="AS88" s="284"/>
      <c r="AT88" s="284"/>
      <c r="AU88" s="284"/>
      <c r="AV88" s="284"/>
      <c r="AW88" s="284"/>
      <c r="AX88" s="284"/>
      <c r="AY88" s="5"/>
      <c r="BA88" s="284"/>
      <c r="BB88" s="284"/>
      <c r="BC88" s="284"/>
      <c r="BD88" s="284"/>
      <c r="BE88" s="284"/>
      <c r="BF88" s="284"/>
      <c r="BG88" s="284"/>
      <c r="BH88" s="197"/>
      <c r="BJ88" s="284"/>
      <c r="BK88" s="284"/>
      <c r="BL88" s="284"/>
      <c r="BM88" s="284"/>
      <c r="BN88" s="284"/>
      <c r="BO88" s="284"/>
      <c r="BP88" s="284"/>
      <c r="BQ88" s="5"/>
      <c r="BR88" s="5"/>
      <c r="BS88" s="5"/>
      <c r="BV88" s="165"/>
      <c r="BW88" s="165"/>
      <c r="BX88" s="165"/>
      <c r="BY88" s="165"/>
      <c r="BZ88" s="165"/>
      <c r="CA88" s="165"/>
      <c r="CB88" s="165"/>
      <c r="CC88" s="165"/>
      <c r="CD88" s="165"/>
      <c r="CE88" s="165"/>
    </row>
    <row r="89" spans="2:88" ht="18" customHeight="1" x14ac:dyDescent="0.35">
      <c r="B89" s="459" t="s">
        <v>14</v>
      </c>
      <c r="C89" s="460"/>
      <c r="D89" s="461"/>
      <c r="E89" s="49">
        <f>IF(ISBLANK(E57),"",E57)</f>
        <v>10</v>
      </c>
      <c r="F89" s="49">
        <f t="shared" ref="F89:M89" si="7">IF(ISBLANK(F57),"",F57)</f>
        <v>44713</v>
      </c>
      <c r="G89" s="49" t="str">
        <f t="shared" si="7"/>
        <v/>
      </c>
      <c r="H89" s="49" t="str">
        <f t="shared" si="7"/>
        <v/>
      </c>
      <c r="I89" s="49" t="str">
        <f t="shared" si="7"/>
        <v/>
      </c>
      <c r="J89" s="49" t="str">
        <f t="shared" si="7"/>
        <v/>
      </c>
      <c r="K89" s="49" t="str">
        <f t="shared" si="7"/>
        <v/>
      </c>
      <c r="L89" s="49" t="str">
        <f t="shared" si="7"/>
        <v/>
      </c>
      <c r="M89" s="49">
        <f t="shared" si="7"/>
        <v>44713</v>
      </c>
      <c r="N89" s="50"/>
      <c r="R89" s="420"/>
      <c r="S89" s="420"/>
      <c r="T89" s="420"/>
      <c r="U89" s="420"/>
      <c r="V89" s="420"/>
      <c r="W89" s="420"/>
      <c r="X89" s="420"/>
      <c r="Y89" s="420"/>
      <c r="Z89" s="420"/>
      <c r="AA89" s="284"/>
      <c r="AB89" s="284"/>
      <c r="AC89" s="284"/>
      <c r="AD89" s="284"/>
      <c r="AE89" s="284"/>
      <c r="AF89" s="284"/>
      <c r="AR89" s="284"/>
      <c r="AS89" s="284"/>
      <c r="AT89" s="284"/>
      <c r="AU89" s="284"/>
      <c r="AV89" s="284"/>
      <c r="AW89" s="284"/>
      <c r="AX89" s="284"/>
      <c r="BA89" s="284"/>
      <c r="BB89" s="284"/>
      <c r="BC89" s="284"/>
      <c r="BD89" s="284"/>
      <c r="BE89" s="284"/>
      <c r="BF89" s="284"/>
      <c r="BG89" s="284"/>
      <c r="BJ89" s="284"/>
      <c r="BK89" s="284"/>
      <c r="BL89" s="284"/>
      <c r="BM89" s="284"/>
      <c r="BN89" s="284"/>
      <c r="BO89" s="284"/>
      <c r="BP89" s="284"/>
      <c r="BQ89" s="5"/>
      <c r="BR89" s="5"/>
      <c r="BS89" s="5"/>
      <c r="BV89" s="165"/>
      <c r="BW89" s="165"/>
      <c r="BX89" s="165"/>
      <c r="BY89" s="165"/>
      <c r="BZ89" s="165"/>
      <c r="CA89" s="165"/>
      <c r="CB89" s="165"/>
      <c r="CC89" s="165"/>
      <c r="CD89" s="165"/>
      <c r="CE89" s="165"/>
    </row>
    <row r="90" spans="2:88" ht="18" customHeight="1" x14ac:dyDescent="0.35">
      <c r="B90" s="415" t="s">
        <v>11</v>
      </c>
      <c r="C90" s="416"/>
      <c r="D90" s="19"/>
      <c r="E90" s="92">
        <f>IF(ISBLANK(E58),"",E58)</f>
        <v>45275</v>
      </c>
      <c r="F90" s="92">
        <f t="shared" ref="F90:M90" si="8">IF(ISBLANK(F58),"",F58)</f>
        <v>44711</v>
      </c>
      <c r="G90" s="92" t="str">
        <f t="shared" si="8"/>
        <v/>
      </c>
      <c r="H90" s="92" t="str">
        <f t="shared" si="8"/>
        <v/>
      </c>
      <c r="I90" s="92" t="str">
        <f t="shared" si="8"/>
        <v/>
      </c>
      <c r="J90" s="92" t="str">
        <f t="shared" si="8"/>
        <v/>
      </c>
      <c r="K90" s="92" t="str">
        <f t="shared" si="8"/>
        <v/>
      </c>
      <c r="L90" s="92" t="str">
        <f t="shared" si="8"/>
        <v/>
      </c>
      <c r="M90" s="92">
        <f t="shared" si="8"/>
        <v>45076</v>
      </c>
      <c r="N90" s="93"/>
      <c r="R90" s="420"/>
      <c r="S90" s="420"/>
      <c r="T90" s="420"/>
      <c r="U90" s="420"/>
      <c r="V90" s="420"/>
      <c r="W90" s="420"/>
      <c r="X90" s="420"/>
      <c r="Y90" s="420"/>
      <c r="Z90" s="420"/>
      <c r="AH90" s="9"/>
      <c r="AI90" s="217"/>
      <c r="AJ90" s="217"/>
      <c r="AK90" s="217"/>
      <c r="AL90" s="217"/>
      <c r="AM90" s="217"/>
      <c r="AN90" s="217"/>
      <c r="AO90" s="217"/>
      <c r="BA90" s="284"/>
      <c r="BB90" s="284"/>
      <c r="BC90" s="284"/>
      <c r="BD90" s="284"/>
      <c r="BE90" s="284"/>
      <c r="BF90" s="284"/>
      <c r="BG90" s="284"/>
      <c r="BH90" s="167"/>
      <c r="BJ90" s="284"/>
      <c r="BK90" s="284"/>
      <c r="BL90" s="284"/>
      <c r="BM90" s="284"/>
      <c r="BN90" s="284"/>
      <c r="BO90" s="284"/>
      <c r="BP90" s="284"/>
      <c r="BQ90" s="167"/>
      <c r="BR90" s="5"/>
      <c r="BS90" s="5"/>
      <c r="BV90" s="165"/>
      <c r="BW90" s="165"/>
      <c r="BX90" s="165"/>
      <c r="BY90" s="165"/>
      <c r="BZ90" s="165"/>
      <c r="CA90" s="165"/>
      <c r="CB90" s="165"/>
      <c r="CC90" s="165"/>
      <c r="CD90" s="165"/>
      <c r="CE90" s="165"/>
      <c r="CF90" s="167"/>
    </row>
    <row r="91" spans="2:88" ht="80.25" customHeight="1" x14ac:dyDescent="0.35">
      <c r="B91" s="539" t="s">
        <v>64</v>
      </c>
      <c r="C91" s="540"/>
      <c r="D91" s="540"/>
      <c r="E91" s="94" t="str">
        <f>IF(E$71&lt;&gt;"", E$71,"")</f>
        <v/>
      </c>
      <c r="F91" s="94" t="str">
        <f t="shared" ref="F91:N91" si="9">IF(F$71&lt;&gt;"", F$71,"")</f>
        <v/>
      </c>
      <c r="G91" s="94" t="str">
        <f t="shared" si="9"/>
        <v/>
      </c>
      <c r="H91" s="94" t="str">
        <f t="shared" si="9"/>
        <v/>
      </c>
      <c r="I91" s="94" t="str">
        <f t="shared" si="9"/>
        <v/>
      </c>
      <c r="J91" s="94" t="str">
        <f t="shared" si="9"/>
        <v/>
      </c>
      <c r="K91" s="94" t="str">
        <f t="shared" si="9"/>
        <v/>
      </c>
      <c r="L91" s="94" t="str">
        <f t="shared" si="9"/>
        <v/>
      </c>
      <c r="M91" s="94" t="str">
        <f t="shared" si="9"/>
        <v/>
      </c>
      <c r="N91" s="285" t="str">
        <f t="shared" si="9"/>
        <v/>
      </c>
      <c r="P91" s="167"/>
      <c r="Q91" s="217"/>
      <c r="R91" s="420"/>
      <c r="S91" s="420"/>
      <c r="T91" s="420"/>
      <c r="U91" s="420"/>
      <c r="V91" s="420"/>
      <c r="W91" s="420"/>
      <c r="X91" s="420"/>
      <c r="Y91" s="420"/>
      <c r="Z91" s="420"/>
      <c r="AA91" s="217"/>
      <c r="AB91" s="217"/>
      <c r="AC91" s="217"/>
      <c r="AD91" s="217"/>
      <c r="AE91" s="217"/>
      <c r="AF91" s="217"/>
      <c r="AG91" s="217"/>
      <c r="AH91" s="61"/>
      <c r="AI91" s="217"/>
      <c r="AJ91" s="217"/>
      <c r="AK91" s="217"/>
      <c r="AL91" s="217"/>
      <c r="AM91" s="217"/>
      <c r="AN91" s="217"/>
      <c r="AO91" s="217"/>
      <c r="AP91" s="217"/>
      <c r="AQ91" s="413"/>
      <c r="AR91" s="217"/>
      <c r="AS91" s="217"/>
      <c r="AT91" s="217"/>
      <c r="AU91" s="217"/>
      <c r="AV91" s="217"/>
      <c r="AW91" s="217"/>
      <c r="AX91" s="217"/>
      <c r="AY91" s="221"/>
      <c r="BA91" s="284"/>
      <c r="BB91" s="284"/>
      <c r="BC91" s="284"/>
      <c r="BD91" s="284"/>
      <c r="BE91" s="284"/>
      <c r="BF91" s="284"/>
      <c r="BG91" s="284"/>
      <c r="BJ91" s="284"/>
      <c r="BK91" s="284"/>
      <c r="BL91" s="284"/>
      <c r="BM91" s="284"/>
      <c r="BN91" s="284"/>
      <c r="BO91" s="284"/>
      <c r="BP91" s="284"/>
      <c r="BQ91" s="5"/>
      <c r="BR91" s="5"/>
      <c r="BS91" s="5"/>
      <c r="BV91" s="165"/>
      <c r="BW91" s="165"/>
      <c r="BX91" s="165"/>
      <c r="BY91" s="165"/>
      <c r="BZ91" s="165"/>
      <c r="CA91" s="165"/>
      <c r="CB91" s="165"/>
      <c r="CC91" s="165"/>
      <c r="CD91" s="165"/>
      <c r="CE91" s="165"/>
    </row>
    <row r="92" spans="2:88" ht="61.5" customHeight="1" x14ac:dyDescent="0.35">
      <c r="B92" s="31"/>
      <c r="C92" s="449" t="s">
        <v>149</v>
      </c>
      <c r="D92" s="450"/>
      <c r="E92" s="129">
        <v>19</v>
      </c>
      <c r="F92" s="129"/>
      <c r="G92" s="129"/>
      <c r="H92" s="129"/>
      <c r="I92" s="129"/>
      <c r="J92" s="129"/>
      <c r="K92" s="129"/>
      <c r="L92" s="129"/>
      <c r="M92" s="236" t="str">
        <f>'2023 Satellite(s)'!N94</f>
        <v/>
      </c>
      <c r="N92" s="132">
        <f>IF(COUNT(E92:M92),SUM(E92:M92),"")</f>
        <v>19</v>
      </c>
      <c r="O92" s="170" t="str">
        <f>IF(P92=1, "&lt;===", "")</f>
        <v/>
      </c>
      <c r="P92" s="167" t="str">
        <f>IF(OR(AND(E91&lt;&gt;"",E92="",D411&lt;&gt;""),AND(F91&lt;&gt;"",F92="",D411&lt;&gt;""),AND(G91&lt;&gt;"",G92="",D411&lt;&gt;""),AND(H91&lt;&gt;"",H92="",D411&lt;&gt;""),AND(I91&lt;&gt;"",I92="",D411&lt;&gt;""),AND(J91&lt;&gt;"",J92="",D411&lt;&gt;""),AND(K91&lt;&gt;"",K92="",D411&lt;&gt;""),AND(L91&lt;&gt;"",L92="",D411&lt;&gt;""),AND(M91&lt;&gt;"",M92="",D411&lt;&gt;"")), 1, "")</f>
        <v/>
      </c>
      <c r="Q92" s="217"/>
      <c r="R92" s="420"/>
      <c r="S92" s="420"/>
      <c r="T92" s="420"/>
      <c r="U92" s="420"/>
      <c r="V92" s="420"/>
      <c r="W92" s="420"/>
      <c r="X92" s="420"/>
      <c r="Y92" s="420"/>
      <c r="Z92" s="420"/>
      <c r="AA92" s="217"/>
      <c r="AB92" s="217"/>
      <c r="AC92" s="217"/>
      <c r="AD92" s="217"/>
      <c r="AE92" s="217"/>
      <c r="AF92" s="217"/>
      <c r="AG92" s="217"/>
      <c r="AH92" s="61"/>
      <c r="AI92" s="217"/>
      <c r="AJ92" s="217"/>
      <c r="AK92" s="217"/>
      <c r="AL92" s="217"/>
      <c r="AM92" s="217"/>
      <c r="AN92" s="217"/>
      <c r="AO92" s="217"/>
      <c r="AP92" s="217"/>
      <c r="AQ92" s="413"/>
      <c r="AR92" s="217"/>
      <c r="AS92" s="217"/>
      <c r="AT92" s="217"/>
      <c r="AU92" s="217"/>
      <c r="AV92" s="217"/>
      <c r="AW92" s="217"/>
      <c r="AX92" s="217"/>
      <c r="AY92" s="221"/>
      <c r="BA92" s="284"/>
      <c r="BB92" s="284"/>
      <c r="BC92" s="284"/>
      <c r="BD92" s="284"/>
      <c r="BE92" s="284"/>
      <c r="BF92" s="284"/>
      <c r="BG92" s="284"/>
      <c r="BJ92" s="284"/>
      <c r="BK92" s="284"/>
      <c r="BL92" s="284"/>
      <c r="BM92" s="284"/>
      <c r="BN92" s="284"/>
      <c r="BO92" s="284"/>
      <c r="BP92" s="284"/>
      <c r="BQ92" s="5"/>
      <c r="BR92" s="5"/>
      <c r="BS92" s="5"/>
      <c r="BV92" s="165"/>
      <c r="BW92" s="165"/>
      <c r="BX92" s="165"/>
      <c r="BY92" s="165"/>
      <c r="BZ92" s="165"/>
      <c r="CA92" s="165"/>
      <c r="CB92" s="165"/>
      <c r="CC92" s="165"/>
      <c r="CD92" s="165"/>
      <c r="CE92" s="165"/>
    </row>
    <row r="93" spans="2:88" ht="50.25" customHeight="1" x14ac:dyDescent="0.35">
      <c r="B93" s="185"/>
      <c r="C93" s="457" t="s">
        <v>124</v>
      </c>
      <c r="D93" s="458"/>
      <c r="E93" s="186">
        <v>10</v>
      </c>
      <c r="F93" s="186"/>
      <c r="G93" s="186"/>
      <c r="H93" s="186"/>
      <c r="I93" s="186"/>
      <c r="J93" s="186"/>
      <c r="K93" s="186"/>
      <c r="L93" s="186"/>
      <c r="M93" s="237" t="str">
        <f>'2023 Satellite(s)'!N95</f>
        <v/>
      </c>
      <c r="N93" s="187">
        <f>IF(COUNT(E93:M93),SUM(E93:M93),"")</f>
        <v>10</v>
      </c>
      <c r="O93" s="170" t="str">
        <f>IF(P93=1, "&lt;===", "")</f>
        <v/>
      </c>
      <c r="P93" s="167" t="str">
        <f>IF(OR(AND(E91&lt;&gt;"",E93="",D411&lt;&gt;""),AND(F91&lt;&gt;"",F93="",D411&lt;&gt;""),AND(G91&lt;&gt;"",G93="",D411&lt;&gt;""),AND(H91&lt;&gt;"",H93="",D411&lt;&gt;""),AND(I91&lt;&gt;"",I93="",D411&lt;&gt;""),AND(J91&lt;&gt;"",J93="",D411&lt;&gt;""),AND(K91&lt;&gt;"",K93="",D411&lt;&gt;""),AND(L91&lt;&gt;"",L93="",D411&lt;&gt;""),AND(M91&lt;&gt;"",M93="",D411&lt;&gt;"")), 1, "")</f>
        <v/>
      </c>
      <c r="Q93" s="11"/>
      <c r="R93" s="420"/>
      <c r="S93" s="420"/>
      <c r="T93" s="420"/>
      <c r="U93" s="420"/>
      <c r="V93" s="420"/>
      <c r="W93" s="420"/>
      <c r="X93" s="420"/>
      <c r="Y93" s="420"/>
      <c r="Z93" s="420"/>
      <c r="AA93" s="11"/>
      <c r="AB93" s="5"/>
      <c r="AC93" s="5"/>
      <c r="AD93" s="5"/>
      <c r="AE93" s="5"/>
      <c r="AF93" s="167"/>
      <c r="AG93" s="197"/>
      <c r="AI93" s="441"/>
      <c r="AJ93" s="441"/>
      <c r="AO93" s="167"/>
      <c r="AP93" s="197"/>
      <c r="AR93" s="441"/>
      <c r="AS93" s="441"/>
      <c r="AX93" s="167"/>
      <c r="AY93" s="197"/>
      <c r="BA93" s="284"/>
      <c r="BB93" s="284"/>
      <c r="BC93" s="284"/>
      <c r="BD93" s="284"/>
      <c r="BE93" s="284"/>
      <c r="BF93" s="284"/>
      <c r="BG93" s="284"/>
      <c r="BJ93" s="284"/>
      <c r="BK93" s="284"/>
      <c r="BL93" s="284"/>
      <c r="BM93" s="284"/>
      <c r="BN93" s="284"/>
      <c r="BO93" s="284"/>
      <c r="BP93" s="284"/>
      <c r="BQ93" s="5"/>
      <c r="BR93" s="5"/>
      <c r="BS93" s="5"/>
    </row>
    <row r="94" spans="2:88" ht="52.5" customHeight="1" x14ac:dyDescent="0.35">
      <c r="B94" s="184"/>
      <c r="C94" s="371" t="s">
        <v>125</v>
      </c>
      <c r="D94" s="372"/>
      <c r="E94" s="182">
        <v>114</v>
      </c>
      <c r="F94" s="182"/>
      <c r="G94" s="182"/>
      <c r="H94" s="182"/>
      <c r="I94" s="182"/>
      <c r="J94" s="182"/>
      <c r="K94" s="182"/>
      <c r="L94" s="182"/>
      <c r="M94" s="238" t="str">
        <f>'2023 Satellite(s)'!N96</f>
        <v/>
      </c>
      <c r="N94" s="183">
        <f>IF(COUNT(E94:M94),SUM(E94:M94),"")</f>
        <v>114</v>
      </c>
      <c r="O94" s="170" t="str">
        <f>IF(P94=1, "&lt;===", "")</f>
        <v/>
      </c>
      <c r="P94" s="167" t="str">
        <f>IF(OR(AND(E91&lt;&gt;"",E94="",D411&lt;&gt;""),AND(F91&lt;&gt;"",F94="",D411&lt;&gt;""),AND(G91&lt;&gt;"",G94="",D411&lt;&gt;""),AND(H91&lt;&gt;"",H94="",D411&lt;&gt;""),AND(I91&lt;&gt;"",I94="",D411&lt;&gt;""),AND(J91&lt;&gt;"",J94="",D411&lt;&gt;""),AND(K91&lt;&gt;"",K94="",D411&lt;&gt;""),AND(L91&lt;&gt;"",L94="",D411&lt;&gt;""),AND(M91&lt;&gt;"",M94="",D411&lt;&gt;"")), 1, "")</f>
        <v/>
      </c>
      <c r="R94" s="287" t="str">
        <f>IF(P83&lt;&gt;"","REQUIRED: A detailed Action Plan for Written Examination outcome in the box below","")</f>
        <v/>
      </c>
      <c r="Z94" s="5"/>
      <c r="AA94" s="5"/>
      <c r="AB94" s="5"/>
      <c r="AC94" s="5"/>
      <c r="AD94" s="5"/>
      <c r="AE94" s="5"/>
      <c r="AF94" s="5"/>
      <c r="AG94" s="5"/>
      <c r="BA94" s="284"/>
      <c r="BB94" s="284"/>
      <c r="BC94" s="284"/>
      <c r="BD94" s="284"/>
      <c r="BE94" s="284"/>
      <c r="BF94" s="284"/>
      <c r="BG94" s="284"/>
      <c r="BJ94" s="284"/>
      <c r="BK94" s="284"/>
      <c r="BL94" s="284"/>
      <c r="BM94" s="284"/>
      <c r="BN94" s="284"/>
      <c r="BO94" s="284"/>
      <c r="BP94" s="284"/>
      <c r="BQ94" s="5"/>
      <c r="BR94" s="5"/>
      <c r="BS94" s="5"/>
      <c r="BU94" s="189"/>
      <c r="BV94" s="155"/>
      <c r="BW94" s="155"/>
      <c r="BX94" s="155"/>
      <c r="BY94" s="155"/>
      <c r="BZ94" s="155"/>
      <c r="CA94" s="155"/>
      <c r="CB94" s="155"/>
      <c r="CC94" s="155"/>
      <c r="CD94" s="155"/>
      <c r="CE94" s="155"/>
    </row>
    <row r="95" spans="2:88" ht="33" customHeight="1" x14ac:dyDescent="0.35">
      <c r="B95" s="356" t="str">
        <f>"Total Passing in " &amp;D4</f>
        <v>Total Passing in 2023</v>
      </c>
      <c r="C95" s="357"/>
      <c r="D95" s="19"/>
      <c r="E95" s="56" t="str">
        <f>IF(AND(E$91&lt;&gt;"",E$92&lt;&gt;"",E$93&lt;&gt;"",E$94&lt;&gt;""),E$94,"")</f>
        <v/>
      </c>
      <c r="F95" s="56" t="str">
        <f t="shared" ref="F95:M95" si="10">IF(AND(F$91&lt;&gt;"",F$92&lt;&gt;"",F$93&lt;&gt;"",F$94&lt;&gt;""),F$94,"")</f>
        <v/>
      </c>
      <c r="G95" s="56" t="str">
        <f t="shared" si="10"/>
        <v/>
      </c>
      <c r="H95" s="56" t="str">
        <f t="shared" si="10"/>
        <v/>
      </c>
      <c r="I95" s="56" t="str">
        <f t="shared" si="10"/>
        <v/>
      </c>
      <c r="J95" s="56" t="str">
        <f t="shared" si="10"/>
        <v/>
      </c>
      <c r="K95" s="56" t="str">
        <f t="shared" si="10"/>
        <v/>
      </c>
      <c r="L95" s="56" t="str">
        <f t="shared" si="10"/>
        <v/>
      </c>
      <c r="M95" s="56" t="str">
        <f t="shared" si="10"/>
        <v/>
      </c>
      <c r="N95" s="56" t="str">
        <f>IF(COUNT(E95:M95),SUM(E95:M95),"")</f>
        <v/>
      </c>
      <c r="Q95" s="217"/>
      <c r="R95" s="420"/>
      <c r="S95" s="420"/>
      <c r="T95" s="420"/>
      <c r="U95" s="420"/>
      <c r="V95" s="420"/>
      <c r="W95" s="420"/>
      <c r="X95" s="420"/>
      <c r="Y95" s="420"/>
      <c r="Z95" s="420"/>
      <c r="AA95" s="202" t="str">
        <f>IF(AB95=1, "&lt;===", "")</f>
        <v/>
      </c>
      <c r="AB95" s="302" t="str">
        <f>IF(AND(P83&lt;&gt;"",R95="", D411&lt;&gt;""),1, "")</f>
        <v/>
      </c>
      <c r="AC95" s="217"/>
      <c r="AD95" s="217"/>
      <c r="AE95" s="217"/>
      <c r="AF95" s="217"/>
      <c r="AG95" s="217"/>
      <c r="AI95" s="217"/>
      <c r="AJ95" s="217"/>
      <c r="AK95" s="217"/>
      <c r="AL95" s="217"/>
      <c r="AM95" s="217"/>
      <c r="AN95" s="217"/>
      <c r="AO95" s="217"/>
      <c r="AP95" s="217"/>
      <c r="AR95" s="217"/>
      <c r="AS95" s="217"/>
      <c r="AT95" s="217"/>
      <c r="AU95" s="217"/>
      <c r="AV95" s="217"/>
      <c r="AW95" s="217"/>
      <c r="AX95" s="217"/>
      <c r="AY95" s="217"/>
      <c r="BA95" s="284"/>
      <c r="BB95" s="284"/>
      <c r="BC95" s="284"/>
      <c r="BD95" s="284"/>
      <c r="BE95" s="284"/>
      <c r="BF95" s="284"/>
      <c r="BG95" s="284"/>
      <c r="BJ95" s="284"/>
      <c r="BK95" s="284"/>
      <c r="BL95" s="284"/>
      <c r="BM95" s="284"/>
      <c r="BN95" s="284"/>
      <c r="BO95" s="284"/>
      <c r="BP95" s="284"/>
      <c r="BQ95" s="5"/>
      <c r="BR95" s="5"/>
      <c r="BS95" s="5"/>
      <c r="BV95" s="284"/>
      <c r="BW95" s="284"/>
      <c r="BX95" s="284"/>
      <c r="BY95" s="284"/>
      <c r="BZ95" s="284"/>
      <c r="CA95" s="284"/>
      <c r="CB95" s="284"/>
      <c r="CC95" s="284"/>
      <c r="CD95" s="284"/>
      <c r="CE95" s="284"/>
      <c r="CF95" s="197"/>
    </row>
    <row r="96" spans="2:88" ht="45.75" customHeight="1" x14ac:dyDescent="0.35">
      <c r="B96" s="366" t="s">
        <v>69</v>
      </c>
      <c r="C96" s="367"/>
      <c r="D96" s="368"/>
      <c r="E96" s="149" t="str">
        <f>IF(E$91="","",IFERROR(E$95/E$92,0))</f>
        <v/>
      </c>
      <c r="F96" s="149" t="str">
        <f t="shared" ref="F96:M96" si="11">IF(F$91="","",IFERROR(F$95/F$92,0))</f>
        <v/>
      </c>
      <c r="G96" s="149" t="str">
        <f t="shared" si="11"/>
        <v/>
      </c>
      <c r="H96" s="149" t="str">
        <f t="shared" si="11"/>
        <v/>
      </c>
      <c r="I96" s="149" t="str">
        <f t="shared" si="11"/>
        <v/>
      </c>
      <c r="J96" s="149" t="str">
        <f t="shared" si="11"/>
        <v/>
      </c>
      <c r="K96" s="149" t="str">
        <f t="shared" si="11"/>
        <v/>
      </c>
      <c r="L96" s="149" t="str">
        <f t="shared" si="11"/>
        <v/>
      </c>
      <c r="M96" s="149" t="str">
        <f t="shared" si="11"/>
        <v/>
      </c>
      <c r="N96" s="150">
        <f>IF(AND(N59&lt;&gt;"",N92&lt;&gt;"",N95&lt;&gt;""),N95/N92,0)</f>
        <v>0</v>
      </c>
      <c r="O96" s="175"/>
      <c r="P96" s="167"/>
      <c r="Q96" s="284"/>
      <c r="R96" s="420"/>
      <c r="S96" s="420"/>
      <c r="T96" s="420"/>
      <c r="U96" s="420"/>
      <c r="V96" s="420"/>
      <c r="W96" s="420"/>
      <c r="X96" s="420"/>
      <c r="Y96" s="420"/>
      <c r="Z96" s="420"/>
      <c r="AA96" s="284"/>
      <c r="AB96" s="284"/>
      <c r="AC96" s="284"/>
      <c r="AD96" s="284"/>
      <c r="AE96" s="284"/>
      <c r="AF96" s="284"/>
      <c r="AG96" s="201"/>
      <c r="AI96" s="284"/>
      <c r="AJ96" s="284"/>
      <c r="AK96" s="284"/>
      <c r="AL96" s="284"/>
      <c r="AM96" s="284"/>
      <c r="AN96" s="284"/>
      <c r="AO96" s="284"/>
      <c r="AP96" s="197"/>
      <c r="AR96" s="284"/>
      <c r="AS96" s="284"/>
      <c r="AT96" s="284"/>
      <c r="AU96" s="284"/>
      <c r="AV96" s="284"/>
      <c r="AW96" s="284"/>
      <c r="AX96" s="284"/>
      <c r="AY96" s="197"/>
      <c r="BA96" s="284"/>
      <c r="BB96" s="284"/>
      <c r="BC96" s="284"/>
      <c r="BD96" s="284"/>
      <c r="BE96" s="284"/>
      <c r="BF96" s="284"/>
      <c r="BG96" s="284"/>
      <c r="BI96" s="61"/>
      <c r="BJ96" s="284"/>
      <c r="BK96" s="284"/>
      <c r="BL96" s="284"/>
      <c r="BM96" s="284"/>
      <c r="BN96" s="284"/>
      <c r="BO96" s="284"/>
      <c r="BP96" s="284"/>
      <c r="BQ96" s="5"/>
      <c r="BR96" s="5"/>
      <c r="BS96" s="5"/>
      <c r="BV96" s="284"/>
      <c r="BW96" s="284"/>
      <c r="BX96" s="284"/>
      <c r="BY96" s="284"/>
      <c r="BZ96" s="284"/>
      <c r="CA96" s="284"/>
      <c r="CB96" s="284"/>
      <c r="CC96" s="284"/>
      <c r="CD96" s="284"/>
      <c r="CE96" s="284"/>
      <c r="CF96" s="167"/>
    </row>
    <row r="97" spans="1:84" ht="54.75" customHeight="1" x14ac:dyDescent="0.35">
      <c r="B97" s="390" t="str">
        <f>IF(AND(N95&lt;&gt;"",N96&lt;0.7,N91&lt;&gt;"",N93&lt;&gt;"",N92&lt;&gt;"",N94&lt;&gt;"",N96&lt;&gt;"",B98="",'2023 Satellite(s)'!B100=""),"The outcome threshold of 70% has not been met.  
Completion of the analysis and action plan boxes to the right are required ==&gt;",IF(AND(N96&gt;=0.7,N92&lt;&gt;"",N93&lt;&gt;"",N94&lt;&gt;"",N95&lt;&gt;"",N96&lt;=100%,B98="",'2023 Satellite(s)'!B100=""),"The outcome threshold of 70% has been met.  
Please complete the next table below.",""))</f>
        <v/>
      </c>
      <c r="C97" s="391"/>
      <c r="D97" s="391"/>
      <c r="E97" s="391"/>
      <c r="F97" s="391"/>
      <c r="G97" s="391"/>
      <c r="H97" s="391"/>
      <c r="I97" s="391"/>
      <c r="J97" s="391"/>
      <c r="K97" s="391"/>
      <c r="L97" s="391"/>
      <c r="M97" s="391"/>
      <c r="N97" s="392"/>
      <c r="Q97" s="284"/>
      <c r="R97" s="420"/>
      <c r="S97" s="420"/>
      <c r="T97" s="420"/>
      <c r="U97" s="420"/>
      <c r="V97" s="420"/>
      <c r="W97" s="420"/>
      <c r="X97" s="420"/>
      <c r="Y97" s="420"/>
      <c r="Z97" s="420"/>
      <c r="AA97" s="284"/>
      <c r="AB97" s="284"/>
      <c r="AC97" s="284"/>
      <c r="AD97" s="284"/>
      <c r="AE97" s="284"/>
      <c r="AF97" s="284"/>
      <c r="AG97" s="204"/>
      <c r="AI97" s="284"/>
      <c r="AJ97" s="284"/>
      <c r="AK97" s="284"/>
      <c r="AL97" s="284"/>
      <c r="AM97" s="284"/>
      <c r="AN97" s="284"/>
      <c r="AO97" s="284"/>
      <c r="AP97" s="167"/>
      <c r="AR97" s="284"/>
      <c r="AS97" s="284"/>
      <c r="AT97" s="284"/>
      <c r="AU97" s="284"/>
      <c r="AV97" s="284"/>
      <c r="AW97" s="284"/>
      <c r="AX97" s="284"/>
      <c r="AY97" s="167"/>
      <c r="BA97" s="284"/>
      <c r="BB97" s="284"/>
      <c r="BC97" s="284"/>
      <c r="BD97" s="284"/>
      <c r="BE97" s="284"/>
      <c r="BF97" s="284"/>
      <c r="BG97" s="284"/>
      <c r="BJ97" s="284"/>
      <c r="BK97" s="284"/>
      <c r="BL97" s="284"/>
      <c r="BM97" s="284"/>
      <c r="BN97" s="284"/>
      <c r="BO97" s="284"/>
      <c r="BP97" s="284"/>
      <c r="BQ97" s="5"/>
      <c r="BR97" s="5"/>
      <c r="BS97" s="5"/>
      <c r="BV97" s="284"/>
      <c r="BW97" s="284"/>
      <c r="BX97" s="284"/>
      <c r="BY97" s="284"/>
      <c r="BZ97" s="284"/>
      <c r="CA97" s="284"/>
      <c r="CB97" s="284"/>
      <c r="CC97" s="284"/>
      <c r="CD97" s="284"/>
      <c r="CE97" s="284"/>
    </row>
    <row r="98" spans="1:84" ht="52.5" customHeight="1" x14ac:dyDescent="0.35">
      <c r="B98" s="443" t="str">
        <f>IF(OR(AND(E93&gt;E94,E93&lt;&gt;"",E94&lt;&gt;""),AND(F93&gt;F94,F93&lt;&gt;"",F94&lt;&gt;""),AND(G93&gt;G94,G93&lt;&gt;"",G94&lt;&gt;""),AND(H93&gt;H94,H93&lt;&gt;"",H94&lt;&gt;""),AND(I93&gt;I94,I93&lt;&gt;"",I94&lt;&gt;""),AND(J93&gt;J94,J93&lt;&gt;"",J94&lt;&gt;""),AND(K93&gt;K94,K93&lt;&gt;"",K94&lt;&gt;""),AND(L93&gt;L94,L93&lt;&gt;"",L94&lt;&gt;""),AND(M93&gt;M94,M93&lt;&gt;"",M94&lt;&gt;"")),"Error has occurred; The 3rd attempt cumulative pass rate number cannot be less than the first attempt number",IF(OR(AND(E91&lt;E92,E93&lt;&gt;"",E94&lt;&gt;""),AND(F91&lt;F92,F93&lt;&gt;"",F94&lt;&gt;""),AND(G91&lt;G92,G93&lt;&gt;"",G94&lt;&gt;""),AND(H91&lt;H92,H93&lt;&gt;"",H94&lt;&gt;""),AND(I91&lt;I92,I93&lt;&gt;"",I94&lt;&gt;""),AND(J91&lt;J92,J93&lt;&gt;"",J94&lt;&gt;""),AND(K91&lt;K92,K93&lt;&gt;"",K94&lt;&gt;""),AND(L91&lt;L92,L93&lt;&gt;"",L94&lt;&gt;""),AND(M91&lt;M92,M93&lt;&gt;"",M94&lt;&gt;"")),"Error has occurred; The number of graduates attempting 
cannot be more than the total graduates in the reporting year",IF(OR(AND(E94&gt;E92,E93&lt;&gt;"",E94&lt;&gt;""),AND(F94&gt;F92,F93&lt;&gt;"",F94&lt;&gt;""),AND(G94&gt;G92,G93&lt;&gt;"",G94&lt;&gt;""),AND(H94&gt;H92,H93&lt;&gt;"",H94&lt;&gt;""),AND(I94&gt;I92,I93&lt;&gt;"",I94&lt;&gt;""),AND(J94&gt;J92,J93&lt;&gt;"",J94&lt;&gt;""),AND(K94&gt;K92,K93&lt;&gt;"",K94&lt;&gt;""),AND(L94&gt;L92,L93&lt;&gt;"",L94&lt;&gt;""),AND(M94&gt;M92,M93&lt;&gt;"",M94&lt;&gt;"")),"Error has occurred; The 3rd attempt cumulative pass rate number cannot be more than 
the number of graduates attempting the certification examination or state license",IF(OR(AND(E91&lt;&gt;"",E95="",E96=0),AND(F91&lt;&gt;"",F95="",F96=0),AND(G91&lt;&gt;"",G95="",G96=0),AND(H91&lt;&gt;"",H95="",H96=0),AND(I91&lt;&gt;"",I95="",I96=0),AND(J91&lt;&gt;"",J95="",J96=0),AND(K91&lt;&gt;"",K95="",K96=0),AND(L91&lt;&gt;"",L95="",L96=0),AND(M91&lt;&gt;"",M95="",M96=0)),"Please Note: An empty or blank cell is not the same as a zero.",IF('2023 Satellite(s)'!B100&lt;&gt;"","Error has occurred; See Satellite(s) tab.","")))))</f>
        <v>Error has occurred; The 3rd attempt cumulative pass rate number cannot be more than 
the number of graduates attempting the certification examination or state license</v>
      </c>
      <c r="C98" s="443"/>
      <c r="D98" s="443"/>
      <c r="E98" s="443"/>
      <c r="F98" s="443"/>
      <c r="G98" s="443"/>
      <c r="H98" s="443"/>
      <c r="I98" s="443"/>
      <c r="J98" s="443"/>
      <c r="K98" s="443"/>
      <c r="L98" s="443"/>
      <c r="M98" s="443"/>
      <c r="N98" s="443"/>
      <c r="P98" s="259"/>
      <c r="Q98" s="284"/>
      <c r="R98" s="420"/>
      <c r="S98" s="420"/>
      <c r="T98" s="420"/>
      <c r="U98" s="420"/>
      <c r="V98" s="420"/>
      <c r="W98" s="420"/>
      <c r="X98" s="420"/>
      <c r="Y98" s="420"/>
      <c r="Z98" s="420"/>
      <c r="AA98" s="284"/>
      <c r="AB98" s="284"/>
      <c r="AC98" s="284"/>
      <c r="AD98" s="284"/>
      <c r="AE98" s="284"/>
      <c r="AF98" s="284"/>
      <c r="AG98" s="284"/>
      <c r="AI98" s="284"/>
      <c r="AJ98" s="284"/>
      <c r="AK98" s="284"/>
      <c r="AL98" s="284"/>
      <c r="AM98" s="284"/>
      <c r="AN98" s="284"/>
      <c r="AO98" s="284"/>
      <c r="AP98" s="5"/>
      <c r="AR98" s="284"/>
      <c r="AS98" s="284"/>
      <c r="AT98" s="284"/>
      <c r="AU98" s="284"/>
      <c r="AV98" s="284"/>
      <c r="AW98" s="284"/>
      <c r="AX98" s="284"/>
      <c r="AY98" s="5"/>
      <c r="BA98" s="284"/>
      <c r="BB98" s="284"/>
      <c r="BC98" s="284"/>
      <c r="BD98" s="284"/>
      <c r="BE98" s="284"/>
      <c r="BF98" s="284"/>
      <c r="BG98" s="284"/>
      <c r="BJ98" s="284"/>
      <c r="BK98" s="284"/>
      <c r="BL98" s="284"/>
      <c r="BM98" s="284"/>
      <c r="BN98" s="284"/>
      <c r="BO98" s="284"/>
      <c r="BP98" s="284"/>
      <c r="BQ98" s="5"/>
      <c r="BR98" s="5"/>
      <c r="BS98" s="5"/>
      <c r="BV98" s="284"/>
      <c r="BW98" s="284"/>
      <c r="BX98" s="284"/>
      <c r="BY98" s="284"/>
      <c r="BZ98" s="284"/>
      <c r="CA98" s="284"/>
      <c r="CB98" s="284"/>
      <c r="CC98" s="284"/>
      <c r="CD98" s="284"/>
      <c r="CE98" s="284"/>
    </row>
    <row r="99" spans="1:84" x14ac:dyDescent="0.35">
      <c r="A99" s="159"/>
      <c r="Q99" s="284"/>
      <c r="R99" s="420"/>
      <c r="S99" s="420"/>
      <c r="T99" s="420"/>
      <c r="U99" s="420"/>
      <c r="V99" s="420"/>
      <c r="W99" s="420"/>
      <c r="X99" s="420"/>
      <c r="Y99" s="420"/>
      <c r="Z99" s="420"/>
      <c r="AA99" s="284"/>
      <c r="AB99" s="284"/>
      <c r="AC99" s="284"/>
      <c r="AD99" s="284"/>
      <c r="AE99" s="284"/>
      <c r="AF99" s="284"/>
      <c r="AI99" s="284"/>
      <c r="AJ99" s="284"/>
      <c r="AK99" s="284"/>
      <c r="AL99" s="284"/>
      <c r="AM99" s="284"/>
      <c r="AN99" s="284"/>
      <c r="AO99" s="284"/>
      <c r="AR99" s="284"/>
      <c r="AS99" s="284"/>
      <c r="AT99" s="284"/>
      <c r="AU99" s="284"/>
      <c r="AV99" s="284"/>
      <c r="AW99" s="284"/>
      <c r="AX99" s="284"/>
      <c r="BA99" s="284"/>
      <c r="BB99" s="284"/>
      <c r="BC99" s="284"/>
      <c r="BD99" s="284"/>
      <c r="BE99" s="284"/>
      <c r="BF99" s="284"/>
      <c r="BG99" s="284"/>
      <c r="BJ99" s="284"/>
      <c r="BK99" s="284"/>
      <c r="BL99" s="284"/>
      <c r="BM99" s="284"/>
      <c r="BN99" s="284"/>
      <c r="BO99" s="284"/>
      <c r="BP99" s="284"/>
    </row>
    <row r="100" spans="1:84" ht="101.25" customHeight="1" x14ac:dyDescent="0.35">
      <c r="B100" s="444" t="s">
        <v>70</v>
      </c>
      <c r="C100" s="445"/>
      <c r="D100" s="445"/>
      <c r="E100" s="445"/>
      <c r="F100" s="445"/>
      <c r="G100" s="445"/>
      <c r="H100" s="445"/>
      <c r="I100" s="445"/>
      <c r="J100" s="445"/>
      <c r="K100" s="445"/>
      <c r="L100" s="445"/>
      <c r="M100" s="445"/>
      <c r="N100" s="446"/>
      <c r="Q100" s="284"/>
      <c r="R100" s="420"/>
      <c r="S100" s="420"/>
      <c r="T100" s="420"/>
      <c r="U100" s="420"/>
      <c r="V100" s="420"/>
      <c r="W100" s="420"/>
      <c r="X100" s="420"/>
      <c r="Y100" s="420"/>
      <c r="Z100" s="420"/>
      <c r="AA100" s="284"/>
      <c r="AB100" s="284"/>
      <c r="AC100" s="284"/>
      <c r="AD100" s="284"/>
      <c r="AE100" s="284"/>
      <c r="AF100" s="284"/>
      <c r="AI100" s="284"/>
      <c r="AJ100" s="284"/>
      <c r="AK100" s="284"/>
      <c r="AL100" s="284"/>
      <c r="AM100" s="284"/>
      <c r="AN100" s="284"/>
      <c r="AO100" s="284"/>
      <c r="AR100" s="284"/>
      <c r="AS100" s="284"/>
      <c r="AT100" s="284"/>
      <c r="AU100" s="284"/>
      <c r="AV100" s="284"/>
      <c r="AW100" s="284"/>
      <c r="AX100" s="284"/>
      <c r="BA100" s="284"/>
      <c r="BB100" s="284"/>
      <c r="BC100" s="284"/>
      <c r="BD100" s="284"/>
      <c r="BE100" s="284"/>
      <c r="BF100" s="284"/>
      <c r="BG100" s="284"/>
      <c r="BJ100" s="284"/>
      <c r="BK100" s="284"/>
      <c r="BL100" s="284"/>
      <c r="BM100" s="284"/>
      <c r="BN100" s="284"/>
      <c r="BO100" s="284"/>
      <c r="BP100" s="284"/>
    </row>
    <row r="101" spans="1:84" x14ac:dyDescent="0.35">
      <c r="B101" s="359"/>
      <c r="C101" s="359"/>
    </row>
    <row r="102" spans="1:84" x14ac:dyDescent="0.35">
      <c r="B102" s="359"/>
      <c r="C102" s="359"/>
    </row>
    <row r="103" spans="1:84" ht="15" customHeight="1" x14ac:dyDescent="0.35">
      <c r="Q103" s="156"/>
      <c r="BM103" s="309"/>
      <c r="BN103" s="309"/>
      <c r="BO103" s="309"/>
      <c r="BP103" s="309"/>
      <c r="BQ103" s="309"/>
    </row>
    <row r="104" spans="1:84" ht="15" customHeight="1" x14ac:dyDescent="0.35">
      <c r="Q104" s="156"/>
      <c r="BM104" s="309"/>
      <c r="BN104" s="309"/>
      <c r="BO104" s="309"/>
      <c r="BP104" s="309"/>
      <c r="BQ104" s="309"/>
      <c r="BR104" s="310"/>
      <c r="CB104" s="310"/>
      <c r="CC104" s="310"/>
      <c r="CD104" s="310"/>
      <c r="CE104" s="310"/>
      <c r="CF104" s="310"/>
    </row>
    <row r="105" spans="1:84" ht="15" customHeight="1" x14ac:dyDescent="0.35">
      <c r="B105" s="14"/>
      <c r="C105" s="15">
        <f>$D$16</f>
        <v>600000</v>
      </c>
      <c r="D105" s="402" t="str">
        <f>$D$18</f>
        <v>Accordance Community College</v>
      </c>
      <c r="E105" s="402"/>
      <c r="F105" s="402"/>
      <c r="G105" s="402"/>
      <c r="H105" s="402"/>
      <c r="I105" s="402"/>
      <c r="J105" s="402"/>
      <c r="K105" s="402"/>
      <c r="M105" s="10"/>
      <c r="P105" s="373" t="str">
        <f>IF(P107&lt;&gt;"",$D$16,"")</f>
        <v/>
      </c>
      <c r="Q105" s="373"/>
      <c r="R105" s="422" t="str">
        <f>IF(P107&lt;&gt;"",$D$18,"")</f>
        <v/>
      </c>
      <c r="S105" s="422"/>
      <c r="T105" s="422"/>
      <c r="U105" s="422"/>
      <c r="V105" s="422"/>
      <c r="W105" s="422"/>
      <c r="X105" s="422"/>
      <c r="Y105" s="422"/>
      <c r="Z105" s="422"/>
      <c r="AA105" s="422"/>
      <c r="AI105" s="281"/>
      <c r="AJ105" s="281"/>
      <c r="AK105" s="281"/>
      <c r="AL105" s="281"/>
      <c r="AM105" s="281"/>
      <c r="AN105" s="281"/>
      <c r="AO105" s="281"/>
      <c r="AP105" s="281"/>
      <c r="AQ105" s="281"/>
      <c r="AR105" s="281"/>
      <c r="AS105" s="281"/>
      <c r="AT105" s="281"/>
      <c r="BA105" s="281"/>
      <c r="BB105" s="281"/>
      <c r="BC105" s="281"/>
      <c r="BD105" s="281"/>
      <c r="BE105" s="281"/>
      <c r="BF105" s="281"/>
      <c r="BG105" s="281"/>
      <c r="BH105" s="281"/>
      <c r="BI105" s="281"/>
      <c r="BJ105" s="281"/>
      <c r="BK105" s="281"/>
      <c r="BL105" s="281"/>
      <c r="BM105" s="309"/>
      <c r="BN105" s="309"/>
      <c r="BO105" s="309"/>
      <c r="BP105" s="309"/>
      <c r="BQ105" s="309"/>
      <c r="BT105" s="373"/>
      <c r="BU105" s="373"/>
      <c r="BV105" s="422"/>
      <c r="BW105" s="422"/>
      <c r="BX105" s="422"/>
      <c r="BY105" s="422"/>
      <c r="BZ105" s="422"/>
      <c r="CA105" s="310"/>
      <c r="CB105" s="310"/>
      <c r="CC105" s="310"/>
      <c r="CD105" s="310"/>
      <c r="CE105" s="310"/>
    </row>
    <row r="106" spans="1:84" ht="45" customHeight="1" x14ac:dyDescent="0.35">
      <c r="B106" s="359"/>
      <c r="C106" s="359"/>
      <c r="R106" s="168" t="str">
        <f>IF(P107&lt;&gt;"","Positive Placement","")</f>
        <v/>
      </c>
      <c r="S106" s="281"/>
      <c r="T106" s="281"/>
      <c r="U106" s="346" t="str">
        <f>IF(P107&lt;&gt;"","          Link to Available Resource Document      (optional)
CoAEMSP website =&gt; Resource Library =&gt; Instruments &amp; Forms","")</f>
        <v/>
      </c>
      <c r="V106" s="346"/>
      <c r="W106" s="346"/>
      <c r="X106" s="346"/>
      <c r="Y106" s="346"/>
      <c r="Z106" s="346"/>
      <c r="AK106" s="281"/>
      <c r="AL106" s="281"/>
      <c r="AM106" s="281"/>
      <c r="AN106" s="281"/>
      <c r="AO106" s="281"/>
      <c r="BC106" s="281"/>
      <c r="BD106" s="281"/>
      <c r="BE106" s="281"/>
      <c r="BF106" s="281"/>
      <c r="BG106" s="281"/>
      <c r="BM106" s="310"/>
      <c r="BN106" s="310"/>
      <c r="BO106" s="310"/>
      <c r="BP106" s="310"/>
      <c r="BQ106" s="310"/>
      <c r="BV106" s="422"/>
      <c r="BW106" s="422"/>
      <c r="BX106" s="422"/>
      <c r="BY106" s="422"/>
      <c r="BZ106" s="422"/>
      <c r="CA106" s="310"/>
      <c r="CB106" s="310"/>
      <c r="CC106" s="310"/>
      <c r="CD106" s="310"/>
      <c r="CE106" s="310"/>
    </row>
    <row r="107" spans="1:84" ht="27.75" customHeight="1" x14ac:dyDescent="0.35">
      <c r="B107" s="36"/>
      <c r="C107" s="36"/>
      <c r="D107" s="36"/>
      <c r="E107" s="36"/>
      <c r="F107" s="36"/>
      <c r="G107" s="315"/>
      <c r="H107" s="315"/>
      <c r="P107" s="423" t="str">
        <f>IF(AND(B119="The outcome threshold of 70% has not been met.  
Completion of the analysis and action plan boxes to the right are required ==&gt;",B120=""),"1)","")</f>
        <v/>
      </c>
      <c r="Q107" s="190"/>
      <c r="R107" s="190"/>
      <c r="S107" s="190"/>
      <c r="T107" s="190"/>
      <c r="U107" s="190"/>
      <c r="V107" s="374" t="str">
        <f>IF(P107&lt;&gt;"","Program Review &amp; Analysis","")</f>
        <v/>
      </c>
      <c r="W107" s="374"/>
      <c r="X107" s="374"/>
      <c r="Y107" s="155"/>
      <c r="Z107" s="190"/>
      <c r="AA107" s="190"/>
      <c r="AB107" s="190"/>
      <c r="AC107" s="190"/>
      <c r="AD107" s="190"/>
      <c r="AE107" s="190"/>
      <c r="AF107" s="190"/>
      <c r="AG107" s="190"/>
      <c r="AI107" s="190"/>
      <c r="AJ107" s="190"/>
      <c r="AK107" s="190"/>
      <c r="AL107" s="190"/>
      <c r="AM107" s="190"/>
      <c r="AN107" s="190"/>
      <c r="AO107" s="190"/>
      <c r="AQ107" s="414"/>
      <c r="AR107" s="190"/>
      <c r="AS107" s="190"/>
      <c r="AT107" s="190"/>
      <c r="AU107" s="190"/>
      <c r="AV107" s="190"/>
      <c r="AW107" s="190"/>
      <c r="AX107" s="190"/>
      <c r="AY107" s="190"/>
      <c r="AZ107" s="414"/>
      <c r="BA107" s="190"/>
      <c r="BB107" s="190"/>
      <c r="BC107" s="190"/>
      <c r="BD107" s="190"/>
      <c r="BE107" s="190"/>
      <c r="BF107" s="190"/>
      <c r="BG107" s="190"/>
      <c r="BH107" s="190"/>
      <c r="BJ107" s="190"/>
      <c r="BK107" s="190"/>
      <c r="BL107" s="190"/>
      <c r="BM107" s="190"/>
      <c r="BN107" s="190"/>
      <c r="BO107" s="190"/>
      <c r="BP107" s="190"/>
    </row>
    <row r="108" spans="1:84" ht="15" customHeight="1" x14ac:dyDescent="0.35">
      <c r="P108" s="423"/>
      <c r="Q108" s="190"/>
      <c r="R108" s="421" t="str">
        <f>IF(P107&lt;&gt;"","REQUIRED: A detailed ANALYSIS for the Positive Placement outcome in the box below","")</f>
        <v/>
      </c>
      <c r="S108" s="421"/>
      <c r="T108" s="421"/>
      <c r="U108" s="421"/>
      <c r="V108" s="421"/>
      <c r="W108" s="421"/>
      <c r="X108" s="421"/>
      <c r="Y108" s="421"/>
      <c r="Z108" s="421"/>
      <c r="AA108" s="190"/>
      <c r="AB108" s="190"/>
      <c r="AC108" s="190"/>
      <c r="AD108" s="190"/>
      <c r="AE108" s="190"/>
      <c r="AF108" s="190"/>
      <c r="AG108" s="190"/>
      <c r="AH108" s="189"/>
      <c r="AI108" s="190"/>
      <c r="AJ108" s="190"/>
      <c r="AK108" s="190"/>
      <c r="AL108" s="190"/>
      <c r="AM108" s="190"/>
      <c r="AN108" s="190"/>
      <c r="AO108" s="190"/>
      <c r="AP108" s="155"/>
      <c r="AQ108" s="414"/>
      <c r="AR108" s="190"/>
      <c r="AS108" s="190"/>
      <c r="AT108" s="190"/>
      <c r="AU108" s="190"/>
      <c r="AV108" s="190"/>
      <c r="AW108" s="190"/>
      <c r="AX108" s="190"/>
      <c r="AY108" s="190"/>
      <c r="AZ108" s="414"/>
      <c r="BA108" s="190"/>
      <c r="BB108" s="190"/>
      <c r="BC108" s="190"/>
      <c r="BD108" s="190"/>
      <c r="BE108" s="190"/>
      <c r="BF108" s="190"/>
      <c r="BG108" s="190"/>
      <c r="BH108" s="190"/>
      <c r="BI108" s="189"/>
      <c r="BJ108" s="190"/>
      <c r="BK108" s="190"/>
      <c r="BL108" s="190"/>
      <c r="BM108" s="190"/>
      <c r="BN108" s="190"/>
      <c r="BO108" s="190"/>
      <c r="BP108" s="190"/>
      <c r="BQ108" s="155"/>
      <c r="BR108" s="155"/>
      <c r="BS108" s="155"/>
      <c r="BU108" s="189"/>
      <c r="BV108" s="412"/>
      <c r="BW108" s="412"/>
      <c r="BX108" s="412"/>
      <c r="BY108" s="412"/>
      <c r="BZ108" s="412"/>
      <c r="CA108" s="412"/>
      <c r="CB108" s="412"/>
      <c r="CC108" s="412"/>
      <c r="CD108" s="412"/>
      <c r="CE108" s="412"/>
    </row>
    <row r="109" spans="1:84" ht="23.25" customHeight="1" x14ac:dyDescent="0.4">
      <c r="B109" s="65" t="s">
        <v>102</v>
      </c>
      <c r="C109" s="66"/>
      <c r="D109" s="66"/>
      <c r="E109" s="66"/>
      <c r="F109" s="66"/>
      <c r="G109" s="66"/>
      <c r="H109" s="66"/>
      <c r="I109" s="66"/>
      <c r="J109" s="66"/>
      <c r="K109" s="66"/>
      <c r="L109" s="66"/>
      <c r="M109" s="66"/>
      <c r="N109" s="67"/>
      <c r="P109" s="273"/>
      <c r="Q109" s="63"/>
      <c r="R109" s="420"/>
      <c r="S109" s="420"/>
      <c r="T109" s="420"/>
      <c r="U109" s="420"/>
      <c r="V109" s="420"/>
      <c r="W109" s="420"/>
      <c r="X109" s="420"/>
      <c r="Y109" s="420"/>
      <c r="Z109" s="420"/>
      <c r="AA109" s="211"/>
      <c r="AB109" s="284"/>
      <c r="AC109" s="284"/>
      <c r="AD109" s="284"/>
      <c r="AE109" s="284"/>
      <c r="AF109" s="204"/>
      <c r="AG109" s="201"/>
      <c r="AI109" s="284"/>
      <c r="AJ109" s="284"/>
      <c r="AK109" s="284"/>
      <c r="AL109" s="284"/>
      <c r="AM109" s="284"/>
      <c r="AN109" s="284"/>
      <c r="AO109" s="284"/>
      <c r="AP109" s="201"/>
      <c r="AR109" s="284"/>
      <c r="AS109" s="284"/>
      <c r="AT109" s="284"/>
      <c r="AU109" s="284"/>
      <c r="AV109" s="284"/>
      <c r="AW109" s="284"/>
      <c r="AX109" s="284"/>
      <c r="AY109" s="197"/>
      <c r="BA109" s="284"/>
      <c r="BB109" s="284"/>
      <c r="BC109" s="284"/>
      <c r="BD109" s="284"/>
      <c r="BE109" s="284"/>
      <c r="BF109" s="284"/>
      <c r="BG109" s="284"/>
      <c r="BH109" s="197"/>
      <c r="BJ109" s="11"/>
      <c r="BK109" s="11"/>
      <c r="BV109" s="11"/>
      <c r="BW109" s="11"/>
    </row>
    <row r="110" spans="1:84" ht="62.25" customHeight="1" x14ac:dyDescent="0.35">
      <c r="B110" s="424" t="s">
        <v>147</v>
      </c>
      <c r="C110" s="425"/>
      <c r="D110" s="425"/>
      <c r="E110" s="425"/>
      <c r="F110" s="425"/>
      <c r="G110" s="425"/>
      <c r="H110" s="425"/>
      <c r="I110" s="425"/>
      <c r="J110" s="425"/>
      <c r="K110" s="425"/>
      <c r="L110" s="425"/>
      <c r="M110" s="425"/>
      <c r="N110" s="426"/>
      <c r="Q110" s="63"/>
      <c r="R110" s="420"/>
      <c r="S110" s="420"/>
      <c r="T110" s="420"/>
      <c r="U110" s="420"/>
      <c r="V110" s="420"/>
      <c r="W110" s="420"/>
      <c r="X110" s="420"/>
      <c r="Y110" s="420"/>
      <c r="Z110" s="420"/>
      <c r="AA110" s="202" t="str">
        <f>IF(AB110=1, "&lt;===", "")</f>
        <v/>
      </c>
      <c r="AB110" s="302" t="str">
        <f>IF(AND(P107&lt;&gt;"",R109="", D411&lt;&gt;""),1, "")</f>
        <v/>
      </c>
      <c r="AC110" s="217"/>
      <c r="AD110" s="217"/>
      <c r="AE110" s="217"/>
      <c r="AF110" s="217"/>
      <c r="AG110" s="284"/>
      <c r="AI110" s="284"/>
      <c r="AJ110" s="284"/>
      <c r="AK110" s="284"/>
      <c r="AL110" s="284"/>
      <c r="AM110" s="284"/>
      <c r="AN110" s="284"/>
      <c r="AO110" s="284"/>
      <c r="AP110" s="204"/>
      <c r="AR110" s="284"/>
      <c r="AS110" s="284"/>
      <c r="AT110" s="284"/>
      <c r="AU110" s="284"/>
      <c r="AV110" s="284"/>
      <c r="AW110" s="284"/>
      <c r="AX110" s="284"/>
      <c r="AY110" s="167"/>
      <c r="BA110" s="284"/>
      <c r="BB110" s="284"/>
      <c r="BC110" s="284"/>
      <c r="BD110" s="284"/>
      <c r="BE110" s="284"/>
      <c r="BF110" s="284"/>
      <c r="BG110" s="284"/>
      <c r="BH110" s="204"/>
      <c r="BI110" s="62"/>
      <c r="BJ110" s="222"/>
      <c r="BK110" s="222"/>
      <c r="BL110" s="222"/>
      <c r="BM110" s="222"/>
      <c r="BN110" s="222"/>
      <c r="BO110" s="222"/>
      <c r="BP110" s="222"/>
      <c r="BQ110" s="222"/>
      <c r="BV110" s="190"/>
      <c r="BW110" s="190"/>
      <c r="BX110" s="190"/>
      <c r="BY110" s="190"/>
      <c r="BZ110" s="190"/>
      <c r="CA110" s="190"/>
      <c r="CB110" s="190"/>
      <c r="CC110" s="190"/>
      <c r="CD110" s="190"/>
      <c r="CE110" s="190"/>
    </row>
    <row r="111" spans="1:84" ht="41.25" customHeight="1" x14ac:dyDescent="0.35">
      <c r="B111" s="432" t="s">
        <v>91</v>
      </c>
      <c r="C111" s="433"/>
      <c r="D111" s="434"/>
      <c r="E111" s="68" t="str">
        <f>E56</f>
        <v>Cohort 
#1:</v>
      </c>
      <c r="F111" s="68" t="str">
        <f t="shared" ref="F111:L111" si="12">F56</f>
        <v>Cohort 
#2:</v>
      </c>
      <c r="G111" s="68" t="str">
        <f t="shared" si="12"/>
        <v/>
      </c>
      <c r="H111" s="68" t="str">
        <f t="shared" si="12"/>
        <v/>
      </c>
      <c r="I111" s="68" t="str">
        <f t="shared" si="12"/>
        <v/>
      </c>
      <c r="J111" s="68" t="str">
        <f t="shared" si="12"/>
        <v/>
      </c>
      <c r="K111" s="68" t="str">
        <f t="shared" si="12"/>
        <v/>
      </c>
      <c r="L111" s="68" t="str">
        <f t="shared" si="12"/>
        <v/>
      </c>
      <c r="M111" s="68" t="str">
        <f>M56</f>
        <v>Satellites Data</v>
      </c>
      <c r="N111" s="68" t="s">
        <v>12</v>
      </c>
      <c r="P111" s="174"/>
      <c r="Q111" s="63"/>
      <c r="R111" s="420"/>
      <c r="S111" s="420"/>
      <c r="T111" s="420"/>
      <c r="U111" s="420"/>
      <c r="V111" s="420"/>
      <c r="W111" s="420"/>
      <c r="X111" s="420"/>
      <c r="Y111" s="420"/>
      <c r="Z111" s="420"/>
      <c r="AA111" s="217"/>
      <c r="AB111" s="217"/>
      <c r="AC111" s="217"/>
      <c r="AD111" s="217"/>
      <c r="AE111" s="217"/>
      <c r="AF111" s="217"/>
      <c r="AG111" s="284"/>
      <c r="AH111" s="61"/>
      <c r="AI111" s="284"/>
      <c r="AJ111" s="284"/>
      <c r="AK111" s="284"/>
      <c r="AL111" s="284"/>
      <c r="AM111" s="284"/>
      <c r="AN111" s="284"/>
      <c r="AO111" s="284"/>
      <c r="AP111" s="284"/>
      <c r="AR111" s="284"/>
      <c r="AS111" s="284"/>
      <c r="AT111" s="284"/>
      <c r="AU111" s="284"/>
      <c r="AV111" s="284"/>
      <c r="AW111" s="284"/>
      <c r="AX111" s="284"/>
      <c r="AY111" s="5"/>
      <c r="BA111" s="284"/>
      <c r="BB111" s="284"/>
      <c r="BC111" s="284"/>
      <c r="BD111" s="284"/>
      <c r="BE111" s="284"/>
      <c r="BF111" s="284"/>
      <c r="BG111" s="284"/>
      <c r="BH111" s="217"/>
      <c r="BJ111" s="5"/>
      <c r="BK111" s="5"/>
      <c r="BL111" s="5"/>
      <c r="BM111" s="5"/>
      <c r="BN111" s="5"/>
      <c r="BO111" s="5"/>
      <c r="BP111" s="5"/>
      <c r="BQ111" s="5"/>
      <c r="BR111" s="5"/>
      <c r="BS111" s="5"/>
    </row>
    <row r="112" spans="1:84" ht="18" customHeight="1" x14ac:dyDescent="0.35">
      <c r="B112" s="429" t="s">
        <v>14</v>
      </c>
      <c r="C112" s="430"/>
      <c r="D112" s="431"/>
      <c r="E112" s="69">
        <f>IF(ISBLANK(E57),"",E57)</f>
        <v>10</v>
      </c>
      <c r="F112" s="69">
        <f t="shared" ref="F112:M112" si="13">IF(ISBLANK(F57),"",F57)</f>
        <v>44713</v>
      </c>
      <c r="G112" s="69" t="str">
        <f t="shared" si="13"/>
        <v/>
      </c>
      <c r="H112" s="69" t="str">
        <f t="shared" si="13"/>
        <v/>
      </c>
      <c r="I112" s="69" t="str">
        <f t="shared" si="13"/>
        <v/>
      </c>
      <c r="J112" s="69" t="str">
        <f t="shared" si="13"/>
        <v/>
      </c>
      <c r="K112" s="69" t="str">
        <f t="shared" si="13"/>
        <v/>
      </c>
      <c r="L112" s="69" t="str">
        <f t="shared" si="13"/>
        <v/>
      </c>
      <c r="M112" s="69">
        <f t="shared" si="13"/>
        <v>44713</v>
      </c>
      <c r="N112" s="70"/>
      <c r="Q112" s="63"/>
      <c r="R112" s="420"/>
      <c r="S112" s="420"/>
      <c r="T112" s="420"/>
      <c r="U112" s="420"/>
      <c r="V112" s="420"/>
      <c r="W112" s="420"/>
      <c r="X112" s="420"/>
      <c r="Y112" s="420"/>
      <c r="Z112" s="420"/>
      <c r="AA112" s="211"/>
      <c r="AB112" s="284"/>
      <c r="AC112" s="284"/>
      <c r="AD112" s="284"/>
      <c r="AE112" s="284"/>
      <c r="AF112" s="204"/>
      <c r="AG112" s="201"/>
      <c r="AI112" s="284"/>
      <c r="AJ112" s="284"/>
      <c r="AK112" s="284"/>
      <c r="AL112" s="284"/>
      <c r="AM112" s="284"/>
      <c r="AN112" s="284"/>
      <c r="AO112" s="284"/>
      <c r="AP112" s="284"/>
      <c r="AR112" s="284"/>
      <c r="AS112" s="284"/>
      <c r="AT112" s="284"/>
      <c r="AU112" s="284"/>
      <c r="AV112" s="284"/>
      <c r="AW112" s="284"/>
      <c r="AX112" s="284"/>
      <c r="AY112" s="5"/>
      <c r="BA112" s="284"/>
      <c r="BB112" s="284"/>
      <c r="BC112" s="284"/>
      <c r="BD112" s="284"/>
      <c r="BE112" s="284"/>
      <c r="BF112" s="284"/>
      <c r="BG112" s="284"/>
      <c r="BH112" s="284"/>
      <c r="BJ112" s="5"/>
      <c r="BK112" s="5"/>
      <c r="BL112" s="5"/>
      <c r="BM112" s="5"/>
      <c r="BN112" s="5"/>
      <c r="BO112" s="5"/>
      <c r="BP112" s="5"/>
      <c r="BQ112" s="5"/>
      <c r="BR112" s="5"/>
      <c r="BS112" s="5"/>
    </row>
    <row r="113" spans="1:83" ht="18" customHeight="1" x14ac:dyDescent="0.35">
      <c r="B113" s="415" t="s">
        <v>11</v>
      </c>
      <c r="C113" s="416"/>
      <c r="D113" s="19"/>
      <c r="E113" s="92">
        <f>IF(ISBLANK(E58),"",E58)</f>
        <v>45275</v>
      </c>
      <c r="F113" s="92">
        <f t="shared" ref="F113:M113" si="14">IF(ISBLANK(F58),"",F58)</f>
        <v>44711</v>
      </c>
      <c r="G113" s="92" t="str">
        <f t="shared" si="14"/>
        <v/>
      </c>
      <c r="H113" s="92" t="str">
        <f t="shared" si="14"/>
        <v/>
      </c>
      <c r="I113" s="92" t="str">
        <f t="shared" si="14"/>
        <v/>
      </c>
      <c r="J113" s="92" t="str">
        <f t="shared" si="14"/>
        <v/>
      </c>
      <c r="K113" s="92" t="str">
        <f t="shared" si="14"/>
        <v/>
      </c>
      <c r="L113" s="92" t="str">
        <f t="shared" si="14"/>
        <v/>
      </c>
      <c r="M113" s="92">
        <f t="shared" si="14"/>
        <v>45076</v>
      </c>
      <c r="N113" s="93"/>
      <c r="Q113" s="63"/>
      <c r="R113" s="420"/>
      <c r="S113" s="420"/>
      <c r="T113" s="420"/>
      <c r="U113" s="420"/>
      <c r="V113" s="420"/>
      <c r="W113" s="420"/>
      <c r="X113" s="420"/>
      <c r="Y113" s="420"/>
      <c r="Z113" s="420"/>
      <c r="AA113" s="221"/>
      <c r="AI113" s="284"/>
      <c r="AJ113" s="284"/>
      <c r="AK113" s="284"/>
      <c r="AL113" s="284"/>
      <c r="AM113" s="284"/>
      <c r="AN113" s="284"/>
      <c r="AO113" s="284"/>
      <c r="AR113" s="284"/>
      <c r="AS113" s="284"/>
      <c r="AT113" s="284"/>
      <c r="AU113" s="284"/>
      <c r="AV113" s="284"/>
      <c r="AW113" s="284"/>
      <c r="AX113" s="284"/>
      <c r="BA113" s="284"/>
      <c r="BB113" s="284"/>
      <c r="BC113" s="284"/>
      <c r="BD113" s="284"/>
      <c r="BE113" s="284"/>
      <c r="BF113" s="284"/>
      <c r="BG113" s="284"/>
      <c r="BH113" s="284"/>
      <c r="BJ113" s="5"/>
      <c r="BK113" s="5"/>
      <c r="BL113" s="5"/>
      <c r="BM113" s="5"/>
      <c r="BN113" s="5"/>
      <c r="BO113" s="5"/>
      <c r="BP113" s="5"/>
      <c r="BQ113" s="5"/>
      <c r="BR113" s="5"/>
      <c r="BS113" s="5"/>
    </row>
    <row r="114" spans="1:83" ht="55.5" customHeight="1" x14ac:dyDescent="0.35">
      <c r="A114" s="191"/>
      <c r="B114" s="427" t="s">
        <v>38</v>
      </c>
      <c r="C114" s="428"/>
      <c r="D114" s="428"/>
      <c r="E114" s="96" t="str">
        <f t="shared" ref="E114:N114" si="15">IF(ISBLANK(E71),"",E71)</f>
        <v/>
      </c>
      <c r="F114" s="96" t="str">
        <f t="shared" si="15"/>
        <v/>
      </c>
      <c r="G114" s="96" t="str">
        <f t="shared" si="15"/>
        <v/>
      </c>
      <c r="H114" s="96" t="str">
        <f t="shared" si="15"/>
        <v/>
      </c>
      <c r="I114" s="96" t="str">
        <f t="shared" si="15"/>
        <v/>
      </c>
      <c r="J114" s="96" t="str">
        <f t="shared" si="15"/>
        <v/>
      </c>
      <c r="K114" s="96" t="str">
        <f t="shared" si="15"/>
        <v/>
      </c>
      <c r="L114" s="96" t="str">
        <f t="shared" si="15"/>
        <v/>
      </c>
      <c r="M114" s="96" t="str">
        <f t="shared" si="15"/>
        <v/>
      </c>
      <c r="N114" s="113" t="str">
        <f t="shared" si="15"/>
        <v/>
      </c>
      <c r="Q114" s="63"/>
      <c r="R114" s="420"/>
      <c r="S114" s="420"/>
      <c r="T114" s="420"/>
      <c r="U114" s="420"/>
      <c r="V114" s="420"/>
      <c r="W114" s="420"/>
      <c r="X114" s="420"/>
      <c r="Y114" s="420"/>
      <c r="Z114" s="420"/>
      <c r="AA114" s="284"/>
      <c r="AB114" s="284"/>
      <c r="AC114" s="284"/>
      <c r="AD114" s="284"/>
      <c r="AE114" s="284"/>
      <c r="AF114" s="284"/>
      <c r="AG114" s="197"/>
      <c r="AI114" s="284"/>
      <c r="AJ114" s="284"/>
      <c r="AK114" s="284"/>
      <c r="AL114" s="284"/>
      <c r="AM114" s="284"/>
      <c r="AN114" s="284"/>
      <c r="AO114" s="284"/>
      <c r="AR114" s="284"/>
      <c r="AS114" s="284"/>
      <c r="AT114" s="284"/>
      <c r="AU114" s="284"/>
      <c r="AV114" s="284"/>
      <c r="AW114" s="284"/>
      <c r="AX114" s="284"/>
      <c r="BA114" s="284"/>
      <c r="BB114" s="284"/>
      <c r="BC114" s="284"/>
      <c r="BD114" s="284"/>
      <c r="BE114" s="284"/>
      <c r="BF114" s="284"/>
      <c r="BG114" s="284"/>
      <c r="BH114" s="284"/>
      <c r="BJ114" s="5"/>
      <c r="BK114" s="5"/>
      <c r="BL114" s="5"/>
      <c r="BM114" s="5"/>
      <c r="BN114" s="5"/>
      <c r="BO114" s="5"/>
      <c r="BP114" s="5"/>
      <c r="BQ114" s="5"/>
      <c r="BR114" s="5"/>
      <c r="BS114" s="5"/>
    </row>
    <row r="115" spans="1:83" ht="23.25" customHeight="1" x14ac:dyDescent="0.35">
      <c r="B115" s="31"/>
      <c r="C115" s="123" t="s">
        <v>29</v>
      </c>
      <c r="D115" s="95"/>
      <c r="E115" s="129"/>
      <c r="F115" s="129"/>
      <c r="G115" s="129"/>
      <c r="H115" s="129"/>
      <c r="I115" s="129"/>
      <c r="J115" s="129"/>
      <c r="K115" s="129"/>
      <c r="L115" s="129"/>
      <c r="M115" s="236" t="str">
        <f>'2023 Satellite(s)'!N117</f>
        <v/>
      </c>
      <c r="N115" s="132" t="str">
        <f>IF(COUNT(E115:M115),SUM(E115:M115),"")</f>
        <v/>
      </c>
      <c r="O115" s="166" t="str">
        <f>IF(P115=1, "&lt;===", "")</f>
        <v/>
      </c>
      <c r="P115" s="167" t="str">
        <f>IF(OR(AND(E114&lt;&gt;"",E115="",D411&lt;&gt;""),AND(F114&lt;&gt;"",F115="",D411&lt;&gt;""),AND(G114&lt;&gt;"",G115="",D411&lt;&gt;""),AND(H114&lt;&gt;"",H115="",D411&lt;&gt;""),AND(I114&lt;&gt;"",I115="",D411&lt;&gt;""),AND(J114&lt;&gt;"",J115="",D411&lt;&gt;""),AND(K114&lt;&gt;"",K115="",D411&lt;&gt;""),AND(L114&lt;&gt;"",L115="",D411&lt;&gt;""),AND(M114&lt;&gt;"",M115="",D411&lt;&gt;"")), 1, "")</f>
        <v/>
      </c>
      <c r="Q115" s="63"/>
      <c r="R115" s="420"/>
      <c r="S115" s="420"/>
      <c r="T115" s="420"/>
      <c r="U115" s="420"/>
      <c r="V115" s="420"/>
      <c r="W115" s="420"/>
      <c r="X115" s="420"/>
      <c r="Y115" s="420"/>
      <c r="Z115" s="420"/>
      <c r="AA115" s="284"/>
      <c r="AB115" s="284"/>
      <c r="AC115" s="284"/>
      <c r="AD115" s="284"/>
      <c r="AE115" s="284"/>
      <c r="AF115" s="284"/>
      <c r="AG115" s="204"/>
      <c r="AH115" s="413"/>
      <c r="AI115" s="284"/>
      <c r="AJ115" s="284"/>
      <c r="AK115" s="284"/>
      <c r="AL115" s="284"/>
      <c r="AM115" s="284"/>
      <c r="AN115" s="284"/>
      <c r="AO115" s="284"/>
      <c r="AP115" s="217"/>
      <c r="AQ115" s="413"/>
      <c r="AR115" s="284"/>
      <c r="AS115" s="284"/>
      <c r="AT115" s="284"/>
      <c r="AU115" s="284"/>
      <c r="AV115" s="284"/>
      <c r="AW115" s="284"/>
      <c r="AX115" s="284"/>
      <c r="AY115" s="221"/>
      <c r="BA115" s="284"/>
      <c r="BB115" s="284"/>
      <c r="BC115" s="284"/>
      <c r="BD115" s="284"/>
      <c r="BE115" s="284"/>
      <c r="BF115" s="284"/>
      <c r="BG115" s="284"/>
      <c r="BH115" s="284"/>
      <c r="BJ115" s="5"/>
      <c r="BK115" s="5"/>
      <c r="BL115" s="5"/>
      <c r="BM115" s="5"/>
      <c r="BN115" s="5"/>
      <c r="BO115" s="5"/>
      <c r="BP115" s="5"/>
      <c r="BQ115" s="5"/>
      <c r="BR115" s="5"/>
      <c r="BS115" s="5"/>
    </row>
    <row r="116" spans="1:83" ht="35.25" customHeight="1" x14ac:dyDescent="0.35">
      <c r="B116" s="97"/>
      <c r="C116" s="385" t="s">
        <v>82</v>
      </c>
      <c r="D116" s="386"/>
      <c r="E116" s="133"/>
      <c r="F116" s="133"/>
      <c r="G116" s="133"/>
      <c r="H116" s="133"/>
      <c r="I116" s="133"/>
      <c r="J116" s="133"/>
      <c r="K116" s="133"/>
      <c r="L116" s="133"/>
      <c r="M116" s="239" t="str">
        <f>'2023 Satellite(s)'!N118</f>
        <v/>
      </c>
      <c r="N116" s="134" t="str">
        <f>IF(COUNT(E116:M116),SUM(E116:M116),"")</f>
        <v/>
      </c>
      <c r="O116" s="166" t="str">
        <f>IF(P116=1, "&lt;===", "")</f>
        <v/>
      </c>
      <c r="P116" s="167" t="str">
        <f>IF(OR(AND(E114&lt;&gt;"",E116="",D411&lt;&gt;""),AND(F114&lt;&gt;"",F116="",D411&lt;&gt;""),AND(G114&lt;&gt;"",G116="",D411&lt;&gt;""),AND(H114&lt;&gt;"",H116="",D411&lt;&gt;""),AND(I114&lt;&gt;"",I116="",D411&lt;&gt;""),AND(J114&lt;&gt;"",J116="",D411&lt;&gt;""),AND(K114&lt;&gt;"",K116="",D411&lt;&gt;""),AND(L114&lt;&gt;"",L116="",D411&lt;&gt;""),AND(M114&lt;&gt;"",M116="",D411&lt;&gt;"")), 1, "")</f>
        <v/>
      </c>
      <c r="Q116" s="63"/>
      <c r="R116" s="421" t="str">
        <f>IF(P107&lt;&gt;"","REQUIRED: A detailed Action Plan for Positive Placement outcome in the box below","")</f>
        <v/>
      </c>
      <c r="S116" s="421"/>
      <c r="T116" s="421"/>
      <c r="U116" s="421"/>
      <c r="V116" s="421"/>
      <c r="W116" s="421"/>
      <c r="X116" s="421"/>
      <c r="Y116" s="421"/>
      <c r="Z116" s="421"/>
      <c r="AA116" s="284"/>
      <c r="AB116" s="284"/>
      <c r="AC116" s="284"/>
      <c r="AD116" s="284"/>
      <c r="AE116" s="284"/>
      <c r="AF116" s="284"/>
      <c r="AG116" s="217"/>
      <c r="AH116" s="413"/>
      <c r="AI116" s="284"/>
      <c r="AJ116" s="284"/>
      <c r="AK116" s="284"/>
      <c r="AL116" s="284"/>
      <c r="AM116" s="284"/>
      <c r="AN116" s="284"/>
      <c r="AO116" s="284"/>
      <c r="AP116" s="217"/>
      <c r="AQ116" s="413"/>
      <c r="AR116" s="284"/>
      <c r="AS116" s="284"/>
      <c r="AT116" s="284"/>
      <c r="AU116" s="284"/>
      <c r="AV116" s="284"/>
      <c r="AW116" s="284"/>
      <c r="AX116" s="284"/>
      <c r="AY116" s="221"/>
      <c r="BA116" s="284"/>
      <c r="BB116" s="284"/>
      <c r="BC116" s="284"/>
      <c r="BD116" s="284"/>
      <c r="BE116" s="284"/>
      <c r="BF116" s="284"/>
      <c r="BG116" s="284"/>
      <c r="BH116" s="284"/>
      <c r="BJ116" s="5"/>
      <c r="BK116" s="5"/>
      <c r="BL116" s="5"/>
      <c r="BM116" s="5"/>
      <c r="BN116" s="5"/>
      <c r="BO116" s="5"/>
      <c r="BP116" s="5"/>
      <c r="BQ116" s="5"/>
      <c r="BR116" s="5"/>
      <c r="BS116" s="5"/>
    </row>
    <row r="117" spans="1:83" ht="24.75" customHeight="1" x14ac:dyDescent="0.35">
      <c r="B117" s="356" t="str">
        <f>"Total Positive Placement in " &amp;D4</f>
        <v>Total Positive Placement in 2023</v>
      </c>
      <c r="C117" s="357"/>
      <c r="D117" s="358"/>
      <c r="E117" s="56" t="str">
        <f>IF(OR(E114="",E115="",E116=""),"",SUM(E115+E116))</f>
        <v/>
      </c>
      <c r="F117" s="56" t="str">
        <f t="shared" ref="F117:M117" si="16">IF(OR(F114="",F115="",F116=""),"",SUM(F115+F116))</f>
        <v/>
      </c>
      <c r="G117" s="56" t="str">
        <f t="shared" si="16"/>
        <v/>
      </c>
      <c r="H117" s="56" t="str">
        <f t="shared" si="16"/>
        <v/>
      </c>
      <c r="I117" s="56" t="str">
        <f t="shared" si="16"/>
        <v/>
      </c>
      <c r="J117" s="56" t="str">
        <f t="shared" si="16"/>
        <v/>
      </c>
      <c r="K117" s="56" t="str">
        <f t="shared" si="16"/>
        <v/>
      </c>
      <c r="L117" s="56" t="str">
        <f t="shared" si="16"/>
        <v/>
      </c>
      <c r="M117" s="56" t="str">
        <f t="shared" si="16"/>
        <v/>
      </c>
      <c r="N117" s="51" t="str">
        <f>IF(COUNT(N115:N116),SUM(N115,N116),"")</f>
        <v/>
      </c>
      <c r="P117" s="167"/>
      <c r="Q117" s="63"/>
      <c r="R117" s="420"/>
      <c r="S117" s="420"/>
      <c r="T117" s="420"/>
      <c r="U117" s="420"/>
      <c r="V117" s="420"/>
      <c r="W117" s="420"/>
      <c r="X117" s="420"/>
      <c r="Y117" s="420"/>
      <c r="Z117" s="420"/>
      <c r="AA117" s="284"/>
      <c r="AB117" s="284"/>
      <c r="AC117" s="284"/>
      <c r="AD117" s="284"/>
      <c r="AE117" s="284"/>
      <c r="AF117" s="284"/>
      <c r="AG117" s="5"/>
      <c r="AI117" s="284"/>
      <c r="AJ117" s="284"/>
      <c r="AK117" s="284"/>
      <c r="AL117" s="284"/>
      <c r="AM117" s="284"/>
      <c r="AN117" s="284"/>
      <c r="AO117" s="284"/>
      <c r="AR117" s="284"/>
      <c r="AS117" s="284"/>
      <c r="AT117" s="284"/>
      <c r="AU117" s="284"/>
      <c r="AV117" s="284"/>
      <c r="AW117" s="284"/>
      <c r="AX117" s="284"/>
      <c r="BA117" s="284"/>
      <c r="BB117" s="284"/>
      <c r="BC117" s="284"/>
      <c r="BD117" s="284"/>
      <c r="BE117" s="284"/>
      <c r="BF117" s="284"/>
      <c r="BG117" s="284"/>
      <c r="BH117" s="284"/>
      <c r="BJ117" s="5"/>
      <c r="BK117" s="5"/>
      <c r="BL117" s="5"/>
      <c r="BM117" s="5"/>
      <c r="BN117" s="5"/>
      <c r="BO117" s="5"/>
      <c r="BP117" s="5"/>
      <c r="BQ117" s="5"/>
      <c r="BR117" s="5"/>
      <c r="BS117" s="5"/>
    </row>
    <row r="118" spans="1:83" ht="45.75" customHeight="1" x14ac:dyDescent="0.35">
      <c r="B118" s="366" t="s">
        <v>89</v>
      </c>
      <c r="C118" s="367"/>
      <c r="D118" s="368"/>
      <c r="E118" s="149" t="str">
        <f>IF(E114="","",IFERROR(E117/E114,0))</f>
        <v/>
      </c>
      <c r="F118" s="149" t="str">
        <f>IF(F114="","",IFERROR(F117/F114,0))</f>
        <v/>
      </c>
      <c r="G118" s="149" t="str">
        <f t="shared" ref="G118:M118" si="17">IF(G114="","",IFERROR(G117/G114,0))</f>
        <v/>
      </c>
      <c r="H118" s="149" t="str">
        <f t="shared" si="17"/>
        <v/>
      </c>
      <c r="I118" s="149" t="str">
        <f t="shared" si="17"/>
        <v/>
      </c>
      <c r="J118" s="149" t="str">
        <f t="shared" si="17"/>
        <v/>
      </c>
      <c r="K118" s="149" t="str">
        <f t="shared" si="17"/>
        <v/>
      </c>
      <c r="L118" s="149" t="str">
        <f t="shared" si="17"/>
        <v/>
      </c>
      <c r="M118" s="149" t="str">
        <f t="shared" si="17"/>
        <v/>
      </c>
      <c r="N118" s="150">
        <f>IF(AND(N59&lt;&gt;"",N115&lt;&gt;"",N116&lt;&gt;""),N117/N114,0)</f>
        <v>0</v>
      </c>
      <c r="O118" s="175" t="str">
        <f>IF(P117=1, "&lt;===", "")</f>
        <v/>
      </c>
      <c r="P118" s="273"/>
      <c r="Q118" s="155"/>
      <c r="R118" s="420"/>
      <c r="S118" s="420"/>
      <c r="T118" s="420"/>
      <c r="U118" s="420"/>
      <c r="V118" s="420"/>
      <c r="W118" s="420"/>
      <c r="X118" s="420"/>
      <c r="Y118" s="420"/>
      <c r="Z118" s="420"/>
      <c r="AA118" s="201" t="str">
        <f>IF(AB118=1, "&lt;===", "")</f>
        <v/>
      </c>
      <c r="AB118" s="256" t="str">
        <f>IF(AND(P107&lt;&gt;"",R117="", D411&lt;&gt;""),1, "")</f>
        <v/>
      </c>
      <c r="AC118" s="284"/>
      <c r="AD118" s="284"/>
      <c r="AE118" s="284"/>
      <c r="AF118" s="284"/>
      <c r="AG118" s="5"/>
      <c r="AI118" s="284"/>
      <c r="AJ118" s="284"/>
      <c r="AK118" s="284"/>
      <c r="AL118" s="284"/>
      <c r="AM118" s="284"/>
      <c r="AN118" s="284"/>
      <c r="AO118" s="284"/>
      <c r="AR118" s="284"/>
      <c r="AS118" s="284"/>
      <c r="AT118" s="284"/>
      <c r="AU118" s="284"/>
      <c r="AV118" s="284"/>
      <c r="AW118" s="284"/>
      <c r="AX118" s="284"/>
      <c r="BA118" s="284"/>
      <c r="BB118" s="284"/>
      <c r="BC118" s="284"/>
      <c r="BD118" s="284"/>
      <c r="BE118" s="284"/>
      <c r="BF118" s="284"/>
      <c r="BG118" s="284"/>
      <c r="BH118" s="284"/>
      <c r="BJ118" s="5"/>
      <c r="BK118" s="5"/>
      <c r="BL118" s="5"/>
      <c r="BM118" s="5"/>
      <c r="BN118" s="5"/>
      <c r="BO118" s="5"/>
      <c r="BP118" s="5"/>
      <c r="BQ118" s="5"/>
      <c r="BR118" s="5"/>
      <c r="BS118" s="5"/>
      <c r="BU118" s="189"/>
      <c r="BV118" s="412"/>
      <c r="BW118" s="412"/>
      <c r="BX118" s="412"/>
      <c r="BY118" s="412"/>
      <c r="BZ118" s="412"/>
      <c r="CA118" s="412"/>
      <c r="CB118" s="412"/>
      <c r="CC118" s="412"/>
      <c r="CD118" s="412"/>
      <c r="CE118" s="412"/>
    </row>
    <row r="119" spans="1:83" ht="60.75" customHeight="1" x14ac:dyDescent="0.35">
      <c r="B119" s="390" t="str">
        <f>IF(AND(N117&lt;&gt;"",N118&lt;0.7,N115&lt;&gt;"",N116&lt;&gt;"",B120="",'2023 Satellite(s)'!B122=""),"The outcome threshold of 70% has not been met.  
Completion of the analysis and action plan boxes to the right are required ==&gt;",IF(AND(N118&gt;=0.7,N118&lt;=100%,N115&lt;&gt;"",N116&lt;&gt;"",B120="",'2023 Satellite(s)'!B122=""),"The outcome threshold of 70% has been met.  
Please complete the next table below.",""))</f>
        <v/>
      </c>
      <c r="C119" s="391"/>
      <c r="D119" s="391"/>
      <c r="E119" s="391"/>
      <c r="F119" s="391"/>
      <c r="G119" s="391"/>
      <c r="H119" s="391"/>
      <c r="I119" s="391"/>
      <c r="J119" s="391"/>
      <c r="K119" s="391"/>
      <c r="L119" s="391"/>
      <c r="M119" s="391"/>
      <c r="N119" s="392"/>
      <c r="Q119" s="63"/>
      <c r="R119" s="420"/>
      <c r="S119" s="420"/>
      <c r="T119" s="420"/>
      <c r="U119" s="420"/>
      <c r="V119" s="420"/>
      <c r="W119" s="420"/>
      <c r="X119" s="420"/>
      <c r="Y119" s="420"/>
      <c r="Z119" s="420"/>
      <c r="AA119" s="217"/>
      <c r="AB119" s="217"/>
      <c r="AC119" s="217"/>
      <c r="AD119" s="217"/>
      <c r="AE119" s="217"/>
      <c r="AF119" s="217"/>
      <c r="AG119" s="217"/>
      <c r="AI119" s="284"/>
      <c r="AJ119" s="284"/>
      <c r="AK119" s="284"/>
      <c r="AL119" s="284"/>
      <c r="AM119" s="284"/>
      <c r="AN119" s="284"/>
      <c r="AO119" s="284"/>
      <c r="AP119" s="217"/>
      <c r="AR119" s="284"/>
      <c r="AS119" s="284"/>
      <c r="AT119" s="284"/>
      <c r="AU119" s="284"/>
      <c r="AV119" s="284"/>
      <c r="AW119" s="284"/>
      <c r="AX119" s="284"/>
      <c r="AY119" s="217"/>
      <c r="BA119" s="284"/>
      <c r="BB119" s="284"/>
      <c r="BC119" s="284"/>
      <c r="BD119" s="284"/>
      <c r="BE119" s="284"/>
      <c r="BF119" s="284"/>
      <c r="BG119" s="284"/>
      <c r="BH119" s="284"/>
      <c r="BJ119" s="5"/>
      <c r="BK119" s="5"/>
      <c r="BL119" s="5"/>
      <c r="BM119" s="5"/>
      <c r="BN119" s="5"/>
      <c r="BO119" s="5"/>
      <c r="BP119" s="5"/>
      <c r="BQ119" s="5"/>
      <c r="BR119" s="5"/>
      <c r="BS119" s="5"/>
      <c r="BV119" s="5"/>
      <c r="BW119" s="5"/>
      <c r="BX119" s="5"/>
      <c r="BY119" s="5"/>
      <c r="BZ119" s="5"/>
      <c r="CA119" s="5"/>
      <c r="CB119" s="5"/>
      <c r="CC119" s="5"/>
      <c r="CD119" s="5"/>
      <c r="CE119" s="5"/>
    </row>
    <row r="120" spans="1:83" ht="52.5" customHeight="1" x14ac:dyDescent="0.35">
      <c r="B120" s="443" t="str">
        <f>IF(OR(AND(E118&gt;100%,E117&lt;&gt;""),AND(F118&gt;100%,F117&lt;&gt;""),AND(G118&gt;100%,G117&lt;&gt;""),AND(H118&gt;100%,H117&lt;&gt;""),AND(I118&gt;100%,I117&lt;&gt;""),AND(J118&gt;100%,J117&lt;&gt;""),AND(K118&gt;100%,K117&lt;&gt;""),AND(L118&gt;100%,L117&lt;&gt;""),AND(M118&gt;100%,M117&lt;&gt;""),AND(N118&gt;100%,N117&lt;&gt;"")),"Error has occurred; The pass rate success percentage cannot be more than 100%",IF(OR(AND(E114&lt;&gt;"",E117&lt;&gt;"",E117&gt;E114),AND(F114&lt;&gt;"",F117&lt;&gt;"",F117&gt;F114),AND(G114&lt;&gt;"",G117&lt;&gt;"",G117&gt;G114),AND(H114&lt;&gt;"",H117&lt;&gt;"",H117&gt;H114),AND(I114&lt;&gt;"",I117&lt;&gt;"",I117&gt;I114),AND(J114&lt;&gt;"",J117&lt;&gt;"",J117&gt;J114),AND(K114&lt;&gt;"",K117&lt;&gt;"",K117&gt;K114),AND(L114&lt;&gt;"",L117&lt;&gt;"",L117&gt;L114),AND(M114&lt;&gt;"",M117&lt;&gt;"",M117&gt;M114)),"Error has occurred; The total positive placement number cannot be more than the total graduates reported",IF(OR(AND(E114&lt;&gt;"",E117="",E118=0),AND(F114&lt;&gt;"",F117="",F118=0),AND(G114&lt;&gt;"",G117="",G118=0),AND(H114&lt;&gt;"",H117="",H118=0),AND(I114&lt;&gt;"",I117="",I118=0),AND(J114&lt;&gt;"",J117="",J118=0),AND(K114&lt;&gt;"",K117="",K118=0),AND(L114&lt;&gt;"",L117="",L118=0),AND(M114&lt;&gt;"",M117="",M118=0)),"Please Note: An empty or blank cell is not the same as a zero.",IF('2023 Satellite(s)'!B122&lt;&gt;"","Error has occurred; See Satellite(s) tab.",""))))</f>
        <v/>
      </c>
      <c r="C120" s="443"/>
      <c r="D120" s="443"/>
      <c r="E120" s="443"/>
      <c r="F120" s="443"/>
      <c r="G120" s="443"/>
      <c r="H120" s="443"/>
      <c r="I120" s="443"/>
      <c r="J120" s="443"/>
      <c r="K120" s="443"/>
      <c r="L120" s="443"/>
      <c r="M120" s="443"/>
      <c r="N120" s="443"/>
      <c r="Q120" s="63"/>
      <c r="R120" s="420"/>
      <c r="S120" s="420"/>
      <c r="T120" s="420"/>
      <c r="U120" s="420"/>
      <c r="V120" s="420"/>
      <c r="W120" s="420"/>
      <c r="X120" s="420"/>
      <c r="Y120" s="420"/>
      <c r="Z120" s="420"/>
      <c r="AA120" s="284"/>
      <c r="AB120" s="284"/>
      <c r="AC120" s="284"/>
      <c r="AD120" s="284"/>
      <c r="AE120" s="284"/>
      <c r="AF120" s="284"/>
      <c r="AG120" s="201"/>
      <c r="AI120" s="284"/>
      <c r="AJ120" s="284"/>
      <c r="AK120" s="284"/>
      <c r="AL120" s="284"/>
      <c r="AM120" s="284"/>
      <c r="AN120" s="284"/>
      <c r="AO120" s="284"/>
      <c r="AP120" s="5"/>
      <c r="AR120" s="284"/>
      <c r="AS120" s="284"/>
      <c r="AT120" s="284"/>
      <c r="AU120" s="284"/>
      <c r="AV120" s="284"/>
      <c r="AW120" s="284"/>
      <c r="AX120" s="284"/>
      <c r="AY120" s="5"/>
      <c r="BA120" s="284"/>
      <c r="BB120" s="284"/>
      <c r="BC120" s="284"/>
      <c r="BD120" s="284"/>
      <c r="BE120" s="284"/>
      <c r="BF120" s="284"/>
      <c r="BG120" s="284"/>
      <c r="BH120" s="284"/>
      <c r="BI120" s="61"/>
      <c r="BJ120" s="5"/>
      <c r="BK120" s="5"/>
      <c r="BL120" s="5"/>
      <c r="BM120" s="5"/>
      <c r="BN120" s="5"/>
      <c r="BO120" s="5"/>
      <c r="BP120" s="5"/>
      <c r="BQ120" s="5"/>
      <c r="BR120" s="5"/>
      <c r="BS120" s="5"/>
      <c r="BV120" s="5"/>
      <c r="BW120" s="5"/>
      <c r="BX120" s="5"/>
      <c r="BY120" s="5"/>
      <c r="BZ120" s="5"/>
      <c r="CA120" s="5"/>
      <c r="CB120" s="5"/>
      <c r="CC120" s="5"/>
      <c r="CD120" s="5"/>
      <c r="CE120" s="5"/>
    </row>
    <row r="121" spans="1:83" x14ac:dyDescent="0.35">
      <c r="Q121" s="63"/>
      <c r="R121" s="420"/>
      <c r="S121" s="420"/>
      <c r="T121" s="420"/>
      <c r="U121" s="420"/>
      <c r="V121" s="420"/>
      <c r="W121" s="420"/>
      <c r="X121" s="420"/>
      <c r="Y121" s="420"/>
      <c r="Z121" s="420"/>
      <c r="AA121" s="284"/>
      <c r="AB121" s="284"/>
      <c r="AC121" s="284"/>
      <c r="AD121" s="284"/>
      <c r="AE121" s="284"/>
      <c r="AF121" s="284"/>
      <c r="AG121" s="204"/>
      <c r="AI121" s="284"/>
      <c r="AJ121" s="284"/>
      <c r="AK121" s="284"/>
      <c r="AL121" s="284"/>
      <c r="AM121" s="284"/>
      <c r="AN121" s="284"/>
      <c r="AO121" s="284"/>
      <c r="AP121" s="5"/>
      <c r="AR121" s="284"/>
      <c r="AS121" s="284"/>
      <c r="AT121" s="284"/>
      <c r="AU121" s="284"/>
      <c r="AV121" s="284"/>
      <c r="AW121" s="284"/>
      <c r="AX121" s="284"/>
      <c r="AY121" s="5"/>
      <c r="BA121" s="284"/>
      <c r="BB121" s="284"/>
      <c r="BC121" s="284"/>
      <c r="BD121" s="284"/>
      <c r="BE121" s="284"/>
      <c r="BF121" s="284"/>
      <c r="BG121" s="284"/>
      <c r="BH121" s="284"/>
      <c r="BJ121" s="5"/>
      <c r="BK121" s="5"/>
      <c r="BL121" s="5"/>
      <c r="BM121" s="5"/>
      <c r="BN121" s="5"/>
      <c r="BO121" s="5"/>
      <c r="BP121" s="5"/>
      <c r="BQ121" s="5"/>
      <c r="BR121" s="5"/>
      <c r="BS121" s="5"/>
      <c r="BV121" s="5"/>
      <c r="BW121" s="5"/>
      <c r="BX121" s="5"/>
      <c r="BY121" s="5"/>
      <c r="BZ121" s="5"/>
      <c r="CA121" s="5"/>
      <c r="CB121" s="5"/>
      <c r="CC121" s="5"/>
      <c r="CD121" s="5"/>
      <c r="CE121" s="5"/>
    </row>
    <row r="122" spans="1:83" ht="101.25" customHeight="1" x14ac:dyDescent="0.35">
      <c r="B122" s="444" t="s">
        <v>92</v>
      </c>
      <c r="C122" s="445"/>
      <c r="D122" s="445"/>
      <c r="E122" s="445"/>
      <c r="F122" s="445"/>
      <c r="G122" s="445"/>
      <c r="H122" s="445"/>
      <c r="I122" s="445"/>
      <c r="J122" s="445"/>
      <c r="K122" s="445"/>
      <c r="L122" s="445"/>
      <c r="M122" s="445"/>
      <c r="N122" s="446"/>
      <c r="P122" s="259"/>
      <c r="Q122" s="63"/>
      <c r="R122" s="420"/>
      <c r="S122" s="420"/>
      <c r="T122" s="420"/>
      <c r="U122" s="420"/>
      <c r="V122" s="420"/>
      <c r="W122" s="420"/>
      <c r="X122" s="420"/>
      <c r="Y122" s="420"/>
      <c r="Z122" s="420"/>
      <c r="AA122" s="284"/>
      <c r="AB122" s="284"/>
      <c r="AC122" s="284"/>
      <c r="AD122" s="284"/>
      <c r="AE122" s="284"/>
      <c r="AF122" s="284"/>
      <c r="AG122" s="284"/>
      <c r="AI122" s="284"/>
      <c r="AJ122" s="284"/>
      <c r="AK122" s="284"/>
      <c r="AL122" s="284"/>
      <c r="AM122" s="284"/>
      <c r="AN122" s="284"/>
      <c r="AO122" s="284"/>
      <c r="AP122" s="5"/>
      <c r="AR122" s="284"/>
      <c r="AS122" s="284"/>
      <c r="AT122" s="284"/>
      <c r="AU122" s="284"/>
      <c r="AV122" s="284"/>
      <c r="AW122" s="284"/>
      <c r="AX122" s="284"/>
      <c r="AY122" s="5"/>
      <c r="BA122" s="284"/>
      <c r="BB122" s="284"/>
      <c r="BC122" s="284"/>
      <c r="BD122" s="284"/>
      <c r="BE122" s="284"/>
      <c r="BF122" s="284"/>
      <c r="BG122" s="284"/>
      <c r="BH122" s="284"/>
      <c r="BJ122" s="5"/>
      <c r="BK122" s="5"/>
      <c r="BL122" s="5"/>
      <c r="BM122" s="5"/>
      <c r="BN122" s="5"/>
      <c r="BO122" s="5"/>
      <c r="BP122" s="5"/>
      <c r="BQ122" s="5"/>
      <c r="BR122" s="5"/>
      <c r="BS122" s="5"/>
      <c r="BV122" s="5"/>
      <c r="BW122" s="5"/>
      <c r="BX122" s="5"/>
      <c r="BY122" s="5"/>
      <c r="BZ122" s="5"/>
      <c r="CA122" s="5"/>
      <c r="CB122" s="5"/>
      <c r="CC122" s="5"/>
      <c r="CD122" s="5"/>
      <c r="CE122" s="5"/>
    </row>
    <row r="123" spans="1:83" x14ac:dyDescent="0.35">
      <c r="B123" s="359"/>
      <c r="C123" s="359"/>
      <c r="Q123" s="63"/>
      <c r="R123" s="63"/>
      <c r="S123" s="63"/>
      <c r="T123" s="63"/>
      <c r="U123" s="63"/>
      <c r="V123" s="63"/>
      <c r="W123" s="63"/>
      <c r="Z123" s="284"/>
      <c r="AA123" s="284"/>
      <c r="AB123" s="284"/>
      <c r="AC123" s="284"/>
      <c r="AD123" s="284"/>
      <c r="AE123" s="284"/>
      <c r="AF123" s="284"/>
      <c r="AI123" s="284"/>
      <c r="AJ123" s="284"/>
      <c r="AK123" s="284"/>
      <c r="AL123" s="284"/>
      <c r="AM123" s="284"/>
      <c r="AN123" s="284"/>
      <c r="AO123" s="284"/>
      <c r="AR123" s="284"/>
      <c r="AS123" s="284"/>
      <c r="AT123" s="284"/>
      <c r="AU123" s="284"/>
      <c r="AV123" s="284"/>
      <c r="AW123" s="284"/>
      <c r="AX123" s="284"/>
      <c r="BA123" s="284"/>
      <c r="BB123" s="284"/>
      <c r="BC123" s="284"/>
      <c r="BD123" s="284"/>
      <c r="BE123" s="284"/>
      <c r="BF123" s="284"/>
      <c r="BG123" s="284"/>
      <c r="BJ123" s="5"/>
      <c r="BK123" s="5"/>
      <c r="BL123" s="5"/>
      <c r="BM123" s="5"/>
      <c r="BN123" s="5"/>
      <c r="BO123" s="5"/>
      <c r="BP123" s="5"/>
    </row>
    <row r="126" spans="1:83" x14ac:dyDescent="0.35">
      <c r="B126" s="14"/>
      <c r="C126" s="15">
        <f>$D$16</f>
        <v>600000</v>
      </c>
      <c r="D126" s="402" t="str">
        <f>$D$18</f>
        <v>Accordance Community College</v>
      </c>
      <c r="E126" s="402"/>
      <c r="F126" s="402"/>
      <c r="G126" s="402"/>
      <c r="H126" s="402"/>
      <c r="I126" s="402"/>
      <c r="J126" s="402"/>
      <c r="K126" s="402"/>
      <c r="P126" s="373"/>
      <c r="Q126" s="373"/>
      <c r="R126" s="281"/>
      <c r="S126" s="281"/>
      <c r="T126" s="281"/>
      <c r="U126" s="281"/>
      <c r="V126" s="281"/>
      <c r="W126" s="281"/>
      <c r="X126" s="281"/>
      <c r="Y126" s="281"/>
      <c r="Z126" s="281"/>
      <c r="AA126" s="281"/>
    </row>
    <row r="127" spans="1:83" x14ac:dyDescent="0.35">
      <c r="B127" s="359"/>
      <c r="C127" s="359"/>
      <c r="R127" s="281"/>
      <c r="S127" s="281"/>
      <c r="T127" s="281"/>
      <c r="U127" s="281"/>
      <c r="V127" s="281"/>
    </row>
    <row r="128" spans="1:83" ht="23.25" customHeight="1" x14ac:dyDescent="0.4">
      <c r="B128" s="26" t="s">
        <v>13</v>
      </c>
      <c r="C128" s="27"/>
      <c r="D128" s="27"/>
      <c r="E128" s="27"/>
      <c r="F128" s="27"/>
      <c r="G128" s="27"/>
      <c r="H128" s="27"/>
      <c r="I128" s="27"/>
      <c r="J128" s="27"/>
      <c r="K128" s="27"/>
      <c r="L128" s="27"/>
      <c r="M128" s="27"/>
      <c r="N128" s="28"/>
      <c r="P128" s="275"/>
      <c r="Z128" s="155"/>
    </row>
    <row r="129" spans="2:35" ht="43.5" customHeight="1" x14ac:dyDescent="0.35">
      <c r="B129" s="500" t="s">
        <v>84</v>
      </c>
      <c r="C129" s="501"/>
      <c r="D129" s="501"/>
      <c r="E129" s="501"/>
      <c r="F129" s="501"/>
      <c r="G129" s="501"/>
      <c r="H129" s="501"/>
      <c r="I129" s="501"/>
      <c r="J129" s="501"/>
      <c r="K129" s="501"/>
      <c r="L129" s="501"/>
      <c r="M129" s="501"/>
      <c r="N129" s="502"/>
      <c r="Y129" s="197"/>
      <c r="Z129" s="246"/>
      <c r="AA129" s="246"/>
      <c r="AB129" s="246"/>
      <c r="AC129" s="246"/>
      <c r="AD129" s="246"/>
      <c r="AE129" s="246"/>
      <c r="AF129" s="246"/>
      <c r="AG129" s="246"/>
      <c r="AI129" s="197"/>
    </row>
    <row r="130" spans="2:35" ht="41.25" customHeight="1" x14ac:dyDescent="0.35">
      <c r="B130" s="503"/>
      <c r="C130" s="504"/>
      <c r="D130" s="505"/>
      <c r="E130" s="244" t="s">
        <v>12</v>
      </c>
      <c r="F130" s="243"/>
      <c r="G130" s="252" t="s">
        <v>129</v>
      </c>
      <c r="H130" s="243"/>
      <c r="I130" s="243"/>
      <c r="J130" s="243"/>
      <c r="K130" s="243"/>
      <c r="L130" s="243"/>
      <c r="M130" s="243"/>
      <c r="N130" s="243"/>
      <c r="Y130" s="167" t="str">
        <f>IF(AND(N133&lt;&gt;"", P129="",D411&lt;&gt;""),1, "")</f>
        <v/>
      </c>
      <c r="Z130" s="246"/>
      <c r="AA130" s="246"/>
      <c r="AB130" s="246"/>
      <c r="AC130" s="246"/>
      <c r="AD130" s="246"/>
      <c r="AE130" s="246"/>
      <c r="AF130" s="246"/>
      <c r="AG130" s="246"/>
      <c r="AI130" s="167" t="str">
        <f>IF(AND(N133&lt;&gt;"", Z129="",D411&lt;&gt;""),1, "")</f>
        <v/>
      </c>
    </row>
    <row r="131" spans="2:35" ht="42.75" customHeight="1" x14ac:dyDescent="0.35">
      <c r="B131" s="403" t="s">
        <v>67</v>
      </c>
      <c r="C131" s="404"/>
      <c r="D131" s="404"/>
      <c r="E131" s="196" t="str">
        <f>IF(ISBLANK($N$71),"",$N$71)</f>
        <v/>
      </c>
      <c r="F131" s="243"/>
      <c r="G131" s="411"/>
      <c r="H131" s="411"/>
      <c r="I131" s="411"/>
      <c r="J131" s="411"/>
      <c r="K131" s="411"/>
      <c r="L131" s="411"/>
      <c r="M131" s="411"/>
      <c r="N131" s="411"/>
      <c r="O131" s="197" t="str">
        <f>IF(P131=1, "&lt;===", "")</f>
        <v/>
      </c>
      <c r="P131" s="167" t="str">
        <f>IF(AND(E131&lt;&gt;"",G131="",D411&lt;&gt;""), 1, "")</f>
        <v/>
      </c>
      <c r="Z131" s="246"/>
      <c r="AA131" s="246"/>
      <c r="AB131" s="246"/>
      <c r="AC131" s="246"/>
      <c r="AD131" s="246"/>
      <c r="AE131" s="246"/>
      <c r="AF131" s="246"/>
      <c r="AG131" s="246"/>
    </row>
    <row r="132" spans="2:35" ht="46.5" customHeight="1" x14ac:dyDescent="0.35">
      <c r="B132" s="387" t="s">
        <v>126</v>
      </c>
      <c r="C132" s="388"/>
      <c r="D132" s="389"/>
      <c r="E132" s="135">
        <v>10</v>
      </c>
      <c r="F132" s="243"/>
      <c r="G132" s="411"/>
      <c r="H132" s="411"/>
      <c r="I132" s="411"/>
      <c r="J132" s="411"/>
      <c r="K132" s="411"/>
      <c r="L132" s="411"/>
      <c r="M132" s="411"/>
      <c r="N132" s="411"/>
      <c r="O132" s="197" t="str">
        <f>IF(P132=1, "&lt;===", "")</f>
        <v/>
      </c>
      <c r="P132" s="167" t="str">
        <f>IF(AND(E131&lt;&gt;"",E132="",D411&lt;&gt;""), 1, "")</f>
        <v/>
      </c>
      <c r="Z132" s="246"/>
      <c r="AA132" s="246"/>
      <c r="AB132" s="246"/>
      <c r="AC132" s="246"/>
      <c r="AD132" s="246"/>
      <c r="AE132" s="246"/>
      <c r="AF132" s="246"/>
      <c r="AG132" s="246"/>
    </row>
    <row r="133" spans="2:35" ht="42.75" customHeight="1" x14ac:dyDescent="0.35">
      <c r="B133" s="417" t="s">
        <v>127</v>
      </c>
      <c r="C133" s="418"/>
      <c r="D133" s="419"/>
      <c r="E133" s="245">
        <v>2</v>
      </c>
      <c r="F133" s="243"/>
      <c r="G133" s="411"/>
      <c r="H133" s="411"/>
      <c r="I133" s="411"/>
      <c r="J133" s="411"/>
      <c r="K133" s="411"/>
      <c r="L133" s="411"/>
      <c r="M133" s="411"/>
      <c r="N133" s="411"/>
      <c r="O133" s="197" t="str">
        <f>IF(P133=1, "&lt;===", "")</f>
        <v/>
      </c>
      <c r="P133" s="167" t="str">
        <f>IF(AND(E131&lt;&gt;"",E133="",D411&lt;&gt;""), 1, "")</f>
        <v/>
      </c>
      <c r="Z133" s="246"/>
      <c r="AA133" s="246"/>
      <c r="AB133" s="246"/>
      <c r="AC133" s="246"/>
      <c r="AD133" s="246"/>
      <c r="AE133" s="246"/>
      <c r="AF133" s="246"/>
      <c r="AG133" s="246"/>
    </row>
    <row r="134" spans="2:35" ht="46.5" customHeight="1" x14ac:dyDescent="0.35">
      <c r="B134" s="396"/>
      <c r="C134" s="397"/>
      <c r="D134" s="397"/>
      <c r="E134" s="248"/>
      <c r="F134" s="249"/>
      <c r="G134" s="411"/>
      <c r="H134" s="411"/>
      <c r="I134" s="411"/>
      <c r="J134" s="411"/>
      <c r="K134" s="411"/>
      <c r="L134" s="411"/>
      <c r="M134" s="411"/>
      <c r="N134" s="411"/>
      <c r="Z134" s="246"/>
      <c r="AA134" s="246"/>
      <c r="AB134" s="246"/>
      <c r="AC134" s="246"/>
      <c r="AD134" s="246"/>
      <c r="AE134" s="246"/>
      <c r="AF134" s="246"/>
      <c r="AG134" s="246"/>
    </row>
    <row r="135" spans="2:35" ht="46.5" customHeight="1" x14ac:dyDescent="0.35">
      <c r="B135" s="398"/>
      <c r="C135" s="398"/>
      <c r="D135" s="398"/>
      <c r="E135" s="249"/>
      <c r="F135" s="249"/>
      <c r="G135" s="411"/>
      <c r="H135" s="411"/>
      <c r="I135" s="411"/>
      <c r="J135" s="411"/>
      <c r="K135" s="411"/>
      <c r="L135" s="411"/>
      <c r="M135" s="411"/>
      <c r="N135" s="411"/>
      <c r="Z135" s="246"/>
      <c r="AA135" s="246"/>
      <c r="AB135" s="246"/>
      <c r="AC135" s="246"/>
      <c r="AD135" s="246"/>
      <c r="AE135" s="246"/>
      <c r="AF135" s="246"/>
      <c r="AG135" s="246"/>
    </row>
    <row r="136" spans="2:35" ht="34.5" customHeight="1" x14ac:dyDescent="0.35">
      <c r="B136" s="397"/>
      <c r="C136" s="405"/>
      <c r="D136" s="405"/>
      <c r="E136" s="9"/>
      <c r="F136" s="9"/>
      <c r="G136" s="252" t="s">
        <v>128</v>
      </c>
      <c r="H136" s="9"/>
      <c r="I136" s="9"/>
      <c r="J136" s="9"/>
      <c r="K136" s="9"/>
      <c r="L136" s="9"/>
      <c r="M136" s="9"/>
      <c r="N136" s="9"/>
    </row>
    <row r="137" spans="2:35" ht="42.75" customHeight="1" x14ac:dyDescent="0.35">
      <c r="B137" s="397"/>
      <c r="C137" s="405"/>
      <c r="D137" s="405"/>
      <c r="E137" s="9"/>
      <c r="F137" s="9"/>
      <c r="G137" s="411"/>
      <c r="H137" s="411"/>
      <c r="I137" s="411"/>
      <c r="J137" s="411"/>
      <c r="K137" s="411"/>
      <c r="L137" s="411"/>
      <c r="M137" s="411"/>
      <c r="N137" s="411"/>
      <c r="O137" s="197" t="str">
        <f>IF(P137=1, "&lt;===", "")</f>
        <v/>
      </c>
      <c r="P137" s="167" t="str">
        <f>IF(AND(E131&lt;&gt;"",G137="",D411&lt;&gt;""), 1, "")</f>
        <v/>
      </c>
    </row>
    <row r="138" spans="2:35" ht="46.5" customHeight="1" x14ac:dyDescent="0.35">
      <c r="B138" s="397"/>
      <c r="C138" s="405"/>
      <c r="D138" s="405"/>
      <c r="E138" s="9"/>
      <c r="F138" s="9"/>
      <c r="G138" s="411"/>
      <c r="H138" s="411"/>
      <c r="I138" s="411"/>
      <c r="J138" s="411"/>
      <c r="K138" s="411"/>
      <c r="L138" s="411"/>
      <c r="M138" s="411"/>
      <c r="N138" s="411"/>
    </row>
    <row r="139" spans="2:35" ht="42.75" customHeight="1" x14ac:dyDescent="0.35">
      <c r="B139" s="221"/>
      <c r="C139" s="250"/>
      <c r="D139" s="221"/>
      <c r="E139" s="251"/>
      <c r="F139" s="251"/>
      <c r="G139" s="411"/>
      <c r="H139" s="411"/>
      <c r="I139" s="411"/>
      <c r="J139" s="411"/>
      <c r="K139" s="411"/>
      <c r="L139" s="411"/>
      <c r="M139" s="411"/>
      <c r="N139" s="411"/>
    </row>
    <row r="140" spans="2:35" ht="46.5" customHeight="1" x14ac:dyDescent="0.35">
      <c r="B140" s="221"/>
      <c r="C140" s="250"/>
      <c r="D140" s="221"/>
      <c r="E140" s="251"/>
      <c r="F140" s="251"/>
      <c r="G140" s="411"/>
      <c r="H140" s="411"/>
      <c r="I140" s="411"/>
      <c r="J140" s="411"/>
      <c r="K140" s="411"/>
      <c r="L140" s="411"/>
      <c r="M140" s="411"/>
      <c r="N140" s="411"/>
    </row>
    <row r="141" spans="2:35" ht="46.5" customHeight="1" x14ac:dyDescent="0.35">
      <c r="B141" s="221"/>
      <c r="C141" s="250"/>
      <c r="D141" s="221"/>
      <c r="E141" s="251"/>
      <c r="F141" s="251"/>
      <c r="G141" s="411"/>
      <c r="H141" s="411"/>
      <c r="I141" s="411"/>
      <c r="J141" s="411"/>
      <c r="K141" s="411"/>
      <c r="L141" s="411"/>
      <c r="M141" s="411"/>
      <c r="N141" s="411"/>
      <c r="O141" s="39"/>
      <c r="P141" s="263"/>
      <c r="Q141" s="39"/>
      <c r="R141" s="39"/>
      <c r="S141" s="39"/>
      <c r="T141" s="39"/>
      <c r="U141" s="39"/>
    </row>
    <row r="142" spans="2:35" ht="18" customHeight="1" x14ac:dyDescent="0.35">
      <c r="B142" s="221"/>
      <c r="C142" s="250"/>
      <c r="D142" s="221"/>
      <c r="E142" s="251"/>
      <c r="F142" s="251"/>
      <c r="G142" s="251"/>
      <c r="H142" s="251"/>
      <c r="I142" s="251"/>
      <c r="J142" s="251"/>
      <c r="K142" s="251"/>
      <c r="L142" s="251"/>
      <c r="M142" s="251"/>
      <c r="N142" s="251"/>
    </row>
    <row r="143" spans="2:35" ht="20.25" hidden="1" customHeight="1" x14ac:dyDescent="0.35">
      <c r="B143" s="356" t="s">
        <v>17</v>
      </c>
      <c r="C143" s="357"/>
      <c r="D143" s="358"/>
      <c r="E143" s="106" t="str">
        <f>IF(OR(E139="",E140="",E141="",E142=""),"",SUM(E139:E142))</f>
        <v/>
      </c>
      <c r="F143" s="106" t="str">
        <f t="shared" ref="F143:M143" si="18">IF(OR(F139="",F140="",F141="",F142=""),"",SUM(F139:F142))</f>
        <v/>
      </c>
      <c r="G143" s="106" t="str">
        <f t="shared" si="18"/>
        <v/>
      </c>
      <c r="H143" s="106" t="str">
        <f t="shared" si="18"/>
        <v/>
      </c>
      <c r="I143" s="106" t="str">
        <f t="shared" si="18"/>
        <v/>
      </c>
      <c r="J143" s="106" t="str">
        <f t="shared" si="18"/>
        <v/>
      </c>
      <c r="K143" s="106" t="str">
        <f t="shared" si="18"/>
        <v/>
      </c>
      <c r="L143" s="106" t="str">
        <f t="shared" si="18"/>
        <v/>
      </c>
      <c r="M143" s="106" t="str">
        <f t="shared" si="18"/>
        <v/>
      </c>
      <c r="N143" s="23" t="str">
        <f>IF(COUNT(N138:N142),SUM(N138:N142),"")</f>
        <v/>
      </c>
      <c r="O143" s="383"/>
      <c r="P143" s="384"/>
      <c r="Q143" s="384"/>
      <c r="R143" s="384"/>
      <c r="S143" s="384"/>
      <c r="T143" s="384"/>
      <c r="U143" s="384"/>
      <c r="V143" s="384"/>
      <c r="W143" s="384"/>
      <c r="X143" s="384"/>
      <c r="Y143" s="384"/>
    </row>
    <row r="144" spans="2:35" ht="31.5" hidden="1" customHeight="1" x14ac:dyDescent="0.35">
      <c r="B144" s="364" t="s">
        <v>34</v>
      </c>
      <c r="C144" s="365"/>
      <c r="D144" s="365"/>
      <c r="E144" s="99"/>
      <c r="F144" s="99"/>
      <c r="G144" s="99"/>
      <c r="H144" s="99"/>
      <c r="I144" s="99"/>
      <c r="J144" s="99"/>
      <c r="K144" s="99"/>
      <c r="L144" s="99"/>
      <c r="M144" s="99"/>
      <c r="N144" s="112"/>
    </row>
    <row r="145" spans="2:25" ht="18" hidden="1" customHeight="1" x14ac:dyDescent="0.35">
      <c r="B145" s="31"/>
      <c r="C145" s="91" t="s">
        <v>30</v>
      </c>
      <c r="D145" s="40"/>
      <c r="E145" s="104"/>
      <c r="F145" s="104"/>
      <c r="G145" s="104"/>
      <c r="H145" s="104"/>
      <c r="I145" s="104"/>
      <c r="J145" s="104"/>
      <c r="K145" s="104"/>
      <c r="L145" s="104"/>
      <c r="M145" s="104"/>
      <c r="N145" s="105" t="str">
        <f>IF(COUNT(E145:M145),SUM(E145:M145),"")</f>
        <v/>
      </c>
    </row>
    <row r="146" spans="2:25" ht="18" hidden="1" customHeight="1" x14ac:dyDescent="0.35">
      <c r="B146" s="58"/>
      <c r="C146" s="98" t="s">
        <v>31</v>
      </c>
      <c r="D146" s="59"/>
      <c r="E146" s="102"/>
      <c r="F146" s="102"/>
      <c r="G146" s="102"/>
      <c r="H146" s="102"/>
      <c r="I146" s="102"/>
      <c r="J146" s="102"/>
      <c r="K146" s="102"/>
      <c r="L146" s="102"/>
      <c r="M146" s="102"/>
      <c r="N146" s="103" t="str">
        <f>IF(COUNT(E146:M146),SUM(E146:M146),"")</f>
        <v/>
      </c>
    </row>
    <row r="147" spans="2:25" ht="18" hidden="1" customHeight="1" x14ac:dyDescent="0.35">
      <c r="B147" s="31"/>
      <c r="C147" s="91" t="s">
        <v>32</v>
      </c>
      <c r="D147" s="40"/>
      <c r="E147" s="100"/>
      <c r="F147" s="100"/>
      <c r="G147" s="100"/>
      <c r="H147" s="100"/>
      <c r="I147" s="100"/>
      <c r="J147" s="100"/>
      <c r="K147" s="100"/>
      <c r="L147" s="100"/>
      <c r="M147" s="100"/>
      <c r="N147" s="101" t="str">
        <f>IF(COUNT(E147:M147),SUM(E147:M147),"")</f>
        <v/>
      </c>
    </row>
    <row r="148" spans="2:25" ht="18" hidden="1" customHeight="1" x14ac:dyDescent="0.35">
      <c r="B148" s="58"/>
      <c r="C148" s="98" t="s">
        <v>33</v>
      </c>
      <c r="D148" s="59"/>
      <c r="E148" s="102"/>
      <c r="F148" s="102"/>
      <c r="G148" s="102"/>
      <c r="H148" s="102"/>
      <c r="I148" s="102"/>
      <c r="J148" s="102"/>
      <c r="K148" s="102"/>
      <c r="L148" s="102"/>
      <c r="M148" s="102"/>
      <c r="N148" s="103" t="str">
        <f>IF(COUNT(E148:M148),SUM(E148:M148),"")</f>
        <v/>
      </c>
    </row>
    <row r="149" spans="2:25" ht="18" hidden="1" customHeight="1" x14ac:dyDescent="0.35">
      <c r="B149" s="356" t="s">
        <v>18</v>
      </c>
      <c r="C149" s="357"/>
      <c r="D149" s="358"/>
      <c r="E149" s="106" t="str">
        <f>IF(OR(E145="",E146="",E147="",E148=""),"",SUM(E145:E148))</f>
        <v/>
      </c>
      <c r="F149" s="106" t="str">
        <f t="shared" ref="F149:M149" si="19">IF(OR(F145="",F146="",F147="",F148=""),"",SUM(F145:F148))</f>
        <v/>
      </c>
      <c r="G149" s="106" t="str">
        <f t="shared" si="19"/>
        <v/>
      </c>
      <c r="H149" s="106" t="str">
        <f t="shared" si="19"/>
        <v/>
      </c>
      <c r="I149" s="106" t="str">
        <f t="shared" si="19"/>
        <v/>
      </c>
      <c r="J149" s="106" t="str">
        <f t="shared" si="19"/>
        <v/>
      </c>
      <c r="K149" s="106" t="str">
        <f t="shared" si="19"/>
        <v/>
      </c>
      <c r="L149" s="106" t="str">
        <f t="shared" si="19"/>
        <v/>
      </c>
      <c r="M149" s="106" t="str">
        <f t="shared" si="19"/>
        <v/>
      </c>
      <c r="N149" s="23" t="str">
        <f>IF(COUNT(N145:N148),SUM(N145:N148),"")</f>
        <v/>
      </c>
      <c r="O149" s="383"/>
      <c r="P149" s="384"/>
      <c r="Q149" s="384"/>
      <c r="R149" s="384"/>
      <c r="S149" s="384"/>
      <c r="T149" s="384"/>
      <c r="U149" s="384"/>
      <c r="V149" s="384"/>
      <c r="W149" s="384"/>
      <c r="X149" s="384"/>
      <c r="Y149" s="384"/>
    </row>
    <row r="150" spans="2:25" ht="31.5" hidden="1" customHeight="1" x14ac:dyDescent="0.35">
      <c r="B150" s="364" t="s">
        <v>35</v>
      </c>
      <c r="C150" s="365"/>
      <c r="D150" s="365"/>
      <c r="E150" s="99"/>
      <c r="F150" s="99"/>
      <c r="G150" s="99"/>
      <c r="H150" s="99"/>
      <c r="I150" s="99"/>
      <c r="J150" s="99"/>
      <c r="K150" s="99"/>
      <c r="L150" s="99"/>
      <c r="M150" s="99"/>
      <c r="N150" s="112"/>
    </row>
    <row r="151" spans="2:25" ht="18" hidden="1" customHeight="1" x14ac:dyDescent="0.35">
      <c r="B151" s="31"/>
      <c r="C151" s="91" t="s">
        <v>30</v>
      </c>
      <c r="D151" s="40"/>
      <c r="E151" s="104"/>
      <c r="F151" s="104"/>
      <c r="G151" s="104"/>
      <c r="H151" s="104"/>
      <c r="I151" s="104"/>
      <c r="J151" s="104"/>
      <c r="K151" s="104"/>
      <c r="L151" s="104"/>
      <c r="M151" s="104"/>
      <c r="N151" s="105" t="str">
        <f>IF(COUNT(E151:M151),SUM(E151:M151),"")</f>
        <v/>
      </c>
    </row>
    <row r="152" spans="2:25" ht="18" hidden="1" customHeight="1" x14ac:dyDescent="0.35">
      <c r="B152" s="58"/>
      <c r="C152" s="98" t="s">
        <v>31</v>
      </c>
      <c r="D152" s="59"/>
      <c r="E152" s="102"/>
      <c r="F152" s="102"/>
      <c r="G152" s="102"/>
      <c r="H152" s="102"/>
      <c r="I152" s="102"/>
      <c r="J152" s="102"/>
      <c r="K152" s="102"/>
      <c r="L152" s="102"/>
      <c r="M152" s="102"/>
      <c r="N152" s="103" t="str">
        <f>IF(COUNT(E152:M152),SUM(E152:M152),"")</f>
        <v/>
      </c>
    </row>
    <row r="153" spans="2:25" ht="18" hidden="1" customHeight="1" x14ac:dyDescent="0.35">
      <c r="B153" s="31"/>
      <c r="C153" s="91" t="s">
        <v>32</v>
      </c>
      <c r="D153" s="40"/>
      <c r="E153" s="100"/>
      <c r="F153" s="100"/>
      <c r="G153" s="100"/>
      <c r="H153" s="100"/>
      <c r="I153" s="100"/>
      <c r="J153" s="100"/>
      <c r="K153" s="100"/>
      <c r="L153" s="100"/>
      <c r="M153" s="100"/>
      <c r="N153" s="101" t="str">
        <f>IF(COUNT(E153:M153),SUM(E153:M153),"")</f>
        <v/>
      </c>
    </row>
    <row r="154" spans="2:25" ht="18" hidden="1" customHeight="1" x14ac:dyDescent="0.35">
      <c r="B154" s="58"/>
      <c r="C154" s="98" t="s">
        <v>33</v>
      </c>
      <c r="D154" s="59"/>
      <c r="E154" s="102"/>
      <c r="F154" s="102"/>
      <c r="G154" s="102"/>
      <c r="H154" s="102"/>
      <c r="I154" s="102"/>
      <c r="J154" s="102"/>
      <c r="K154" s="102"/>
      <c r="L154" s="102"/>
      <c r="M154" s="102"/>
      <c r="N154" s="103" t="str">
        <f>IF(COUNT(E154:M154),SUM(E154:M154),"")</f>
        <v/>
      </c>
    </row>
    <row r="155" spans="2:25" ht="18" hidden="1" customHeight="1" x14ac:dyDescent="0.35">
      <c r="B155" s="356" t="s">
        <v>15</v>
      </c>
      <c r="C155" s="357"/>
      <c r="D155" s="358"/>
      <c r="E155" s="106" t="str">
        <f>IF(OR(E151="",E152="",E153="",E154=""),"",SUM(E151:E154))</f>
        <v/>
      </c>
      <c r="F155" s="106" t="str">
        <f t="shared" ref="F155:M155" si="20">IF(OR(F151="",F152="",F153="",F154=""),"",SUM(F151:F154))</f>
        <v/>
      </c>
      <c r="G155" s="106" t="str">
        <f t="shared" si="20"/>
        <v/>
      </c>
      <c r="H155" s="106" t="str">
        <f t="shared" si="20"/>
        <v/>
      </c>
      <c r="I155" s="106" t="str">
        <f t="shared" si="20"/>
        <v/>
      </c>
      <c r="J155" s="106" t="str">
        <f t="shared" si="20"/>
        <v/>
      </c>
      <c r="K155" s="106" t="str">
        <f t="shared" si="20"/>
        <v/>
      </c>
      <c r="L155" s="106" t="str">
        <f t="shared" si="20"/>
        <v/>
      </c>
      <c r="M155" s="106" t="str">
        <f t="shared" si="20"/>
        <v/>
      </c>
      <c r="N155" s="23" t="str">
        <f>IF(COUNT(N151:N154),SUM(N151:N154),"")</f>
        <v/>
      </c>
      <c r="O155" s="383"/>
      <c r="P155" s="384"/>
      <c r="Q155" s="384"/>
      <c r="R155" s="384"/>
      <c r="S155" s="384"/>
      <c r="T155" s="384"/>
      <c r="U155" s="384"/>
      <c r="V155" s="384"/>
      <c r="W155" s="384"/>
      <c r="X155" s="384"/>
      <c r="Y155" s="384"/>
    </row>
    <row r="156" spans="2:25" ht="45.75" hidden="1" customHeight="1" x14ac:dyDescent="0.35">
      <c r="B156" s="494"/>
      <c r="C156" s="495"/>
      <c r="D156" s="496"/>
      <c r="E156" s="146" t="str">
        <f t="shared" ref="E156:M156" si="21">IF(OR(E133="",E134=""),"",E134/E133)</f>
        <v/>
      </c>
      <c r="F156" s="146" t="str">
        <f t="shared" si="21"/>
        <v/>
      </c>
      <c r="G156" s="146" t="str">
        <f t="shared" si="21"/>
        <v/>
      </c>
      <c r="H156" s="146" t="str">
        <f t="shared" si="21"/>
        <v/>
      </c>
      <c r="I156" s="146" t="str">
        <f t="shared" si="21"/>
        <v/>
      </c>
      <c r="J156" s="146" t="str">
        <f t="shared" si="21"/>
        <v/>
      </c>
      <c r="K156" s="146" t="str">
        <f t="shared" si="21"/>
        <v/>
      </c>
      <c r="L156" s="146" t="str">
        <f t="shared" si="21"/>
        <v/>
      </c>
      <c r="M156" s="146" t="str">
        <f t="shared" si="21"/>
        <v/>
      </c>
      <c r="N156" s="289">
        <f>IFERROR(AVERAGE(E156:M156),0)</f>
        <v>0</v>
      </c>
      <c r="O156" s="177" t="str">
        <f>IF(P156=1, "&lt;===", "")</f>
        <v/>
      </c>
      <c r="P156" s="167"/>
    </row>
    <row r="157" spans="2:25" ht="58.5" customHeight="1" x14ac:dyDescent="0.65">
      <c r="B157" s="363" t="str">
        <f>IF(AND(E131&lt;&gt;"",B158=""),"Completion of the analysis and action plan boxes above are required.","")</f>
        <v/>
      </c>
      <c r="C157" s="363"/>
      <c r="D157" s="363"/>
      <c r="E157" s="363"/>
      <c r="F157" s="363"/>
      <c r="G157" s="363"/>
      <c r="H157" s="363"/>
      <c r="I157" s="363"/>
      <c r="J157" s="363"/>
      <c r="K157" s="363"/>
      <c r="L157" s="363"/>
      <c r="M157" s="363"/>
      <c r="N157" s="363"/>
      <c r="O157" s="167"/>
      <c r="P157" s="276"/>
      <c r="Q157" s="247"/>
      <c r="R157" s="247"/>
      <c r="S157" s="247"/>
      <c r="T157" s="247"/>
      <c r="U157" s="247"/>
      <c r="V157" s="247"/>
      <c r="W157" s="247"/>
      <c r="X157" s="247"/>
    </row>
    <row r="158" spans="2:25" ht="51.75" customHeight="1" x14ac:dyDescent="0.35">
      <c r="B158" s="516" t="str">
        <f>IF(AND(E131&lt;E132,E131&lt;&gt;""),"Error has occurred; The total number of surveys sent cannot be more than the total number of graduates in the reporting year.",IF(AND(E132&lt;E133,E131&lt;&gt;""),"Error has occurred; The total number of surveys returned cannot be more than the total number of surveys sent.",IF(OR(AND(E131&lt;&gt;"",E132="", D411&lt;&gt;""),AND(E131&lt;&gt;"",E133="",D411&lt;&gt;"")),"Please Note: An empty or blank cell is not the same a zero.","")))</f>
        <v/>
      </c>
      <c r="C158" s="516"/>
      <c r="D158" s="516"/>
      <c r="E158" s="516"/>
      <c r="F158" s="516"/>
      <c r="G158" s="516"/>
      <c r="H158" s="516"/>
      <c r="I158" s="516"/>
      <c r="J158" s="516"/>
      <c r="K158" s="516"/>
      <c r="L158" s="516"/>
      <c r="M158" s="516"/>
      <c r="N158" s="516"/>
      <c r="P158" s="277"/>
      <c r="Q158" s="216"/>
      <c r="R158" s="216"/>
      <c r="S158" s="216"/>
      <c r="T158" s="216"/>
      <c r="U158" s="216"/>
      <c r="V158" s="216"/>
      <c r="W158" s="216"/>
      <c r="X158" s="216"/>
    </row>
    <row r="160" spans="2:25" ht="79.5" customHeight="1" x14ac:dyDescent="0.35">
      <c r="B160" s="444" t="s">
        <v>68</v>
      </c>
      <c r="C160" s="445"/>
      <c r="D160" s="445"/>
      <c r="E160" s="445"/>
      <c r="F160" s="445"/>
      <c r="G160" s="445"/>
      <c r="H160" s="445"/>
      <c r="I160" s="445"/>
      <c r="J160" s="445"/>
      <c r="K160" s="445"/>
      <c r="L160" s="445"/>
      <c r="M160" s="445"/>
      <c r="N160" s="446"/>
      <c r="P160" s="259"/>
    </row>
    <row r="163" spans="2:35" x14ac:dyDescent="0.35">
      <c r="B163" s="14"/>
      <c r="C163" s="15">
        <f>$D$16</f>
        <v>600000</v>
      </c>
      <c r="D163" s="402" t="str">
        <f>$D$18</f>
        <v>Accordance Community College</v>
      </c>
      <c r="E163" s="402"/>
      <c r="F163" s="402"/>
      <c r="G163" s="402"/>
      <c r="H163" s="402"/>
      <c r="I163" s="402"/>
      <c r="J163" s="402"/>
      <c r="K163" s="402"/>
      <c r="P163" s="281"/>
      <c r="Q163" s="281"/>
      <c r="R163" s="422"/>
      <c r="S163" s="422"/>
      <c r="T163" s="422"/>
      <c r="U163" s="422"/>
      <c r="V163" s="422"/>
      <c r="W163" s="422"/>
      <c r="X163" s="422"/>
      <c r="Y163" s="422"/>
      <c r="Z163" s="422"/>
      <c r="AA163" s="422"/>
    </row>
    <row r="164" spans="2:35" x14ac:dyDescent="0.35">
      <c r="B164" s="359"/>
      <c r="C164" s="359"/>
      <c r="R164" s="281"/>
      <c r="S164" s="281"/>
      <c r="T164" s="281"/>
      <c r="U164" s="281"/>
      <c r="V164" s="281"/>
    </row>
    <row r="165" spans="2:35" ht="23.25" customHeight="1" x14ac:dyDescent="0.4">
      <c r="B165" s="82" t="s">
        <v>28</v>
      </c>
      <c r="C165" s="83"/>
      <c r="D165" s="83"/>
      <c r="E165" s="83"/>
      <c r="F165" s="83"/>
      <c r="G165" s="83"/>
      <c r="H165" s="83"/>
      <c r="I165" s="83"/>
      <c r="J165" s="83"/>
      <c r="K165" s="83"/>
      <c r="L165" s="83"/>
      <c r="M165" s="83"/>
      <c r="N165" s="84"/>
      <c r="P165" s="275"/>
      <c r="Z165" s="155"/>
    </row>
    <row r="166" spans="2:35" ht="43.5" customHeight="1" x14ac:dyDescent="0.35">
      <c r="B166" s="360" t="s">
        <v>85</v>
      </c>
      <c r="C166" s="361"/>
      <c r="D166" s="361"/>
      <c r="E166" s="361"/>
      <c r="F166" s="361"/>
      <c r="G166" s="361"/>
      <c r="H166" s="361"/>
      <c r="I166" s="361"/>
      <c r="J166" s="361"/>
      <c r="K166" s="361"/>
      <c r="L166" s="361"/>
      <c r="M166" s="361"/>
      <c r="N166" s="362"/>
      <c r="P166" s="256"/>
      <c r="Q166" s="246"/>
      <c r="R166" s="246"/>
      <c r="S166" s="246"/>
      <c r="T166" s="246"/>
      <c r="U166" s="246"/>
      <c r="V166" s="246"/>
      <c r="W166" s="246"/>
      <c r="X166" s="246"/>
      <c r="Y166" s="197"/>
      <c r="Z166" s="246"/>
      <c r="AA166" s="246"/>
      <c r="AB166" s="246"/>
      <c r="AC166" s="246"/>
      <c r="AD166" s="246"/>
      <c r="AE166" s="246"/>
      <c r="AF166" s="246"/>
      <c r="AG166" s="246"/>
      <c r="AI166" s="197"/>
    </row>
    <row r="167" spans="2:35" ht="42.75" customHeight="1" x14ac:dyDescent="0.35">
      <c r="B167" s="561"/>
      <c r="C167" s="562"/>
      <c r="D167" s="563"/>
      <c r="E167" s="85" t="s">
        <v>12</v>
      </c>
      <c r="F167" s="243"/>
      <c r="G167" s="252" t="s">
        <v>130</v>
      </c>
      <c r="H167" s="243"/>
      <c r="I167" s="243"/>
      <c r="J167" s="243"/>
      <c r="K167" s="243"/>
      <c r="L167" s="243"/>
      <c r="M167" s="243"/>
      <c r="N167" s="243"/>
      <c r="P167" s="256"/>
      <c r="Q167" s="246"/>
      <c r="R167" s="246"/>
      <c r="S167" s="246"/>
      <c r="T167" s="246"/>
      <c r="U167" s="246"/>
      <c r="V167" s="246"/>
      <c r="W167" s="246"/>
      <c r="X167" s="246"/>
      <c r="Y167" s="167"/>
      <c r="Z167" s="246"/>
      <c r="AA167" s="246"/>
      <c r="AB167" s="246"/>
      <c r="AC167" s="246"/>
      <c r="AD167" s="246"/>
      <c r="AE167" s="246"/>
      <c r="AF167" s="246"/>
      <c r="AG167" s="246"/>
      <c r="AI167" s="167"/>
    </row>
    <row r="168" spans="2:35" ht="42.75" customHeight="1" x14ac:dyDescent="0.35">
      <c r="B168" s="406" t="s">
        <v>67</v>
      </c>
      <c r="C168" s="407"/>
      <c r="D168" s="408"/>
      <c r="E168" s="23" t="str">
        <f>IF(ISBLANK(N71),"",N71)</f>
        <v/>
      </c>
      <c r="F168" s="243"/>
      <c r="G168" s="400"/>
      <c r="H168" s="400"/>
      <c r="I168" s="400"/>
      <c r="J168" s="400"/>
      <c r="K168" s="400"/>
      <c r="L168" s="400"/>
      <c r="M168" s="400"/>
      <c r="N168" s="400"/>
      <c r="O168" s="197" t="str">
        <f>IF(P168=1, "&lt;===", "")</f>
        <v/>
      </c>
      <c r="P168" s="255" t="str">
        <f>IF(AND(E168&lt;&gt;"",G168="",D411&lt;&gt;""), 1, "")</f>
        <v/>
      </c>
      <c r="Q168" s="246"/>
      <c r="R168" s="246"/>
      <c r="S168" s="246"/>
      <c r="T168" s="246"/>
      <c r="U168" s="246"/>
      <c r="V168" s="246"/>
      <c r="W168" s="246"/>
      <c r="X168" s="246"/>
      <c r="Z168" s="246"/>
      <c r="AA168" s="246"/>
      <c r="AB168" s="246"/>
      <c r="AC168" s="246"/>
      <c r="AD168" s="246"/>
      <c r="AE168" s="246"/>
      <c r="AF168" s="246"/>
      <c r="AG168" s="246"/>
    </row>
    <row r="169" spans="2:35" ht="42.75" customHeight="1" x14ac:dyDescent="0.35">
      <c r="B169" s="393" t="str">
        <f>"Total Positive Placement in " &amp;D4</f>
        <v>Total Positive Placement in 2023</v>
      </c>
      <c r="C169" s="394"/>
      <c r="D169" s="395"/>
      <c r="E169" s="194" t="str">
        <f>IF(ISBLANK(N117),"",N117)</f>
        <v/>
      </c>
      <c r="F169" s="243"/>
      <c r="G169" s="400"/>
      <c r="H169" s="400"/>
      <c r="I169" s="400"/>
      <c r="J169" s="400"/>
      <c r="K169" s="400"/>
      <c r="L169" s="400"/>
      <c r="M169" s="400"/>
      <c r="N169" s="400"/>
      <c r="O169" s="197" t="str">
        <f>IF(P169=1, "&lt;===", "")</f>
        <v/>
      </c>
      <c r="P169" s="204" t="str">
        <f>IF(AND(E168&lt;&gt;"",E169="",G168="",D411&lt;&gt;""), 1, "")</f>
        <v/>
      </c>
      <c r="Q169" s="246"/>
      <c r="R169" s="246"/>
      <c r="S169" s="246"/>
      <c r="T169" s="246"/>
      <c r="U169" s="246"/>
      <c r="V169" s="246"/>
      <c r="W169" s="246"/>
      <c r="X169" s="246"/>
      <c r="Z169" s="246"/>
      <c r="AA169" s="246"/>
      <c r="AB169" s="246"/>
      <c r="AC169" s="246"/>
      <c r="AD169" s="246"/>
      <c r="AE169" s="246"/>
      <c r="AF169" s="246"/>
      <c r="AG169" s="246"/>
    </row>
    <row r="170" spans="2:35" ht="49.5" customHeight="1" x14ac:dyDescent="0.35">
      <c r="B170" s="518" t="s">
        <v>131</v>
      </c>
      <c r="C170" s="519"/>
      <c r="D170" s="520"/>
      <c r="E170" s="195">
        <v>10</v>
      </c>
      <c r="F170" s="243"/>
      <c r="G170" s="400"/>
      <c r="H170" s="400"/>
      <c r="I170" s="400"/>
      <c r="J170" s="400"/>
      <c r="K170" s="400"/>
      <c r="L170" s="400"/>
      <c r="M170" s="400"/>
      <c r="N170" s="400"/>
      <c r="O170" s="197" t="str">
        <f>IF(P170=1, "&lt;===", "")</f>
        <v/>
      </c>
      <c r="P170" s="204" t="str">
        <f>IF(AND(E168&lt;&gt;"",E170="",D411&lt;&gt;""), 1, "")</f>
        <v/>
      </c>
      <c r="Q170" s="246"/>
      <c r="R170" s="246"/>
      <c r="S170" s="246"/>
      <c r="T170" s="246"/>
      <c r="U170" s="246"/>
      <c r="V170" s="246"/>
      <c r="W170" s="246"/>
      <c r="X170" s="246"/>
      <c r="Z170" s="246"/>
      <c r="AA170" s="246"/>
      <c r="AB170" s="246"/>
      <c r="AC170" s="246"/>
      <c r="AD170" s="246"/>
      <c r="AE170" s="246"/>
      <c r="AF170" s="246"/>
      <c r="AG170" s="246"/>
    </row>
    <row r="171" spans="2:35" ht="49.5" customHeight="1" x14ac:dyDescent="0.35">
      <c r="B171" s="506" t="s">
        <v>133</v>
      </c>
      <c r="C171" s="507"/>
      <c r="D171" s="508"/>
      <c r="E171" s="195">
        <v>1</v>
      </c>
      <c r="F171" s="243"/>
      <c r="G171" s="400"/>
      <c r="H171" s="400"/>
      <c r="I171" s="400"/>
      <c r="J171" s="400"/>
      <c r="K171" s="400"/>
      <c r="L171" s="400"/>
      <c r="M171" s="400"/>
      <c r="N171" s="400"/>
      <c r="O171" s="197" t="str">
        <f>IF(P171=1, "&lt;===", "")</f>
        <v/>
      </c>
      <c r="P171" s="204" t="str">
        <f>IF(AND(E168&lt;&gt;"",E171="",D411&lt;&gt;""), 1, "")</f>
        <v/>
      </c>
      <c r="Q171" s="246"/>
      <c r="R171" s="246"/>
      <c r="S171" s="246"/>
      <c r="T171" s="246"/>
      <c r="U171" s="246"/>
      <c r="V171" s="246"/>
      <c r="W171" s="246"/>
      <c r="X171" s="246"/>
      <c r="Z171" s="246"/>
      <c r="AA171" s="246"/>
      <c r="AB171" s="246"/>
      <c r="AC171" s="246"/>
      <c r="AD171" s="246"/>
      <c r="AE171" s="246"/>
      <c r="AF171" s="246"/>
      <c r="AG171" s="246"/>
    </row>
    <row r="172" spans="2:35" ht="49.5" customHeight="1" x14ac:dyDescent="0.35">
      <c r="B172" s="396"/>
      <c r="C172" s="397"/>
      <c r="D172" s="397"/>
      <c r="E172" s="243"/>
      <c r="F172" s="243"/>
      <c r="G172" s="400"/>
      <c r="H172" s="400"/>
      <c r="I172" s="400"/>
      <c r="J172" s="400"/>
      <c r="K172" s="400"/>
      <c r="L172" s="400"/>
      <c r="M172" s="400"/>
      <c r="N172" s="400"/>
      <c r="O172" s="170" t="str">
        <f>IF(O195=1, "&lt;===", "")</f>
        <v/>
      </c>
      <c r="P172" s="256"/>
      <c r="Q172" s="253"/>
      <c r="R172" s="253"/>
      <c r="S172" s="253"/>
      <c r="T172" s="253"/>
      <c r="U172" s="253"/>
      <c r="V172" s="253"/>
      <c r="W172" s="253"/>
      <c r="X172" s="253"/>
      <c r="Z172" s="253"/>
      <c r="AA172" s="253"/>
      <c r="AB172" s="253"/>
      <c r="AC172" s="253"/>
      <c r="AD172" s="253"/>
      <c r="AE172" s="253"/>
      <c r="AF172" s="253"/>
      <c r="AG172" s="253"/>
    </row>
    <row r="173" spans="2:35" ht="42.75" customHeight="1" x14ac:dyDescent="0.35">
      <c r="B173" s="396"/>
      <c r="C173" s="397"/>
      <c r="D173" s="397"/>
      <c r="E173" s="243"/>
      <c r="F173" s="243"/>
      <c r="G173" s="252" t="s">
        <v>132</v>
      </c>
      <c r="H173" s="243"/>
      <c r="I173" s="243"/>
      <c r="J173" s="243"/>
      <c r="K173" s="243"/>
      <c r="L173" s="243"/>
      <c r="M173" s="243"/>
      <c r="N173" s="243"/>
      <c r="O173" s="253"/>
      <c r="P173" s="256"/>
      <c r="Q173" s="253"/>
      <c r="R173" s="253"/>
      <c r="S173" s="253"/>
      <c r="T173" s="253"/>
      <c r="U173" s="253"/>
      <c r="V173" s="253"/>
      <c r="W173" s="253"/>
      <c r="X173" s="253"/>
      <c r="Z173" s="253"/>
      <c r="AA173" s="253"/>
      <c r="AB173" s="253"/>
      <c r="AC173" s="253"/>
      <c r="AD173" s="253"/>
      <c r="AE173" s="253"/>
      <c r="AF173" s="253"/>
      <c r="AG173" s="253"/>
    </row>
    <row r="174" spans="2:35" ht="42.75" customHeight="1" x14ac:dyDescent="0.35">
      <c r="B174" s="398"/>
      <c r="C174" s="398"/>
      <c r="D174" s="398"/>
      <c r="E174" s="243"/>
      <c r="F174" s="243"/>
      <c r="G174" s="400"/>
      <c r="H174" s="400"/>
      <c r="I174" s="400"/>
      <c r="J174" s="400"/>
      <c r="K174" s="400"/>
      <c r="L174" s="400"/>
      <c r="M174" s="400"/>
      <c r="N174" s="400"/>
      <c r="O174" s="197" t="str">
        <f>IF(P174=1, "&lt;===", "")</f>
        <v/>
      </c>
      <c r="P174" s="167" t="str">
        <f>IF(AND(E168&lt;&gt;"",G174="",D411&lt;&gt;""), 1, "")</f>
        <v/>
      </c>
    </row>
    <row r="175" spans="2:35" ht="42.75" customHeight="1" x14ac:dyDescent="0.35">
      <c r="B175" s="398"/>
      <c r="C175" s="398"/>
      <c r="D175" s="398"/>
      <c r="G175" s="400"/>
      <c r="H175" s="400"/>
      <c r="I175" s="400"/>
      <c r="J175" s="400"/>
      <c r="K175" s="400"/>
      <c r="L175" s="400"/>
      <c r="M175" s="400"/>
      <c r="N175" s="400"/>
    </row>
    <row r="176" spans="2:35" ht="42.75" customHeight="1" x14ac:dyDescent="0.35">
      <c r="B176" s="398"/>
      <c r="C176" s="398"/>
      <c r="D176" s="398"/>
      <c r="G176" s="400"/>
      <c r="H176" s="400"/>
      <c r="I176" s="400"/>
      <c r="J176" s="400"/>
      <c r="K176" s="400"/>
      <c r="L176" s="400"/>
      <c r="M176" s="400"/>
      <c r="N176" s="400"/>
    </row>
    <row r="177" spans="2:25" ht="42.75" customHeight="1" x14ac:dyDescent="0.35">
      <c r="B177" s="221"/>
      <c r="C177" s="250"/>
      <c r="D177" s="221"/>
      <c r="G177" s="400"/>
      <c r="H177" s="400"/>
      <c r="I177" s="400"/>
      <c r="J177" s="400"/>
      <c r="K177" s="400"/>
      <c r="L177" s="400"/>
      <c r="M177" s="400"/>
      <c r="N177" s="400"/>
    </row>
    <row r="178" spans="2:25" ht="42.75" customHeight="1" x14ac:dyDescent="0.35">
      <c r="B178" s="221"/>
      <c r="C178" s="250"/>
      <c r="D178" s="221"/>
      <c r="G178" s="400"/>
      <c r="H178" s="400"/>
      <c r="I178" s="400"/>
      <c r="J178" s="400"/>
      <c r="K178" s="400"/>
      <c r="L178" s="400"/>
      <c r="M178" s="400"/>
      <c r="N178" s="400"/>
    </row>
    <row r="179" spans="2:25" ht="18" customHeight="1" x14ac:dyDescent="0.35">
      <c r="B179" s="221"/>
      <c r="C179" s="250"/>
      <c r="D179" s="221"/>
      <c r="O179" s="39"/>
      <c r="P179" s="263"/>
      <c r="Q179" s="39"/>
      <c r="R179" s="39"/>
      <c r="S179" s="39"/>
      <c r="T179" s="39"/>
      <c r="U179" s="39"/>
    </row>
    <row r="180" spans="2:25" ht="18" hidden="1" customHeight="1" x14ac:dyDescent="0.35">
      <c r="B180" s="86"/>
      <c r="C180" s="110" t="s">
        <v>33</v>
      </c>
      <c r="D180" s="87"/>
      <c r="E180" s="108"/>
      <c r="F180" s="108"/>
      <c r="G180" s="108"/>
      <c r="H180" s="108"/>
      <c r="I180" s="108"/>
      <c r="J180" s="108"/>
      <c r="K180" s="108"/>
      <c r="L180" s="108"/>
      <c r="M180" s="108"/>
      <c r="N180" s="109" t="str">
        <f>IF(COUNT(E180:M180),SUM(E180:M180),"")</f>
        <v/>
      </c>
    </row>
    <row r="181" spans="2:25" ht="18" hidden="1" customHeight="1" x14ac:dyDescent="0.35">
      <c r="B181" s="356" t="s">
        <v>17</v>
      </c>
      <c r="C181" s="357"/>
      <c r="D181" s="358"/>
      <c r="E181" s="106" t="str">
        <f>IF(OR(E177="",E178="",E179="",E180="",),"",SUM(E177:E180))</f>
        <v/>
      </c>
      <c r="F181" s="106" t="str">
        <f t="shared" ref="F181:M181" si="22">IF(OR(F177="",F178="",F179="",F180="",),"",SUM(F177:F180))</f>
        <v/>
      </c>
      <c r="G181" s="106" t="str">
        <f t="shared" si="22"/>
        <v/>
      </c>
      <c r="H181" s="106" t="str">
        <f t="shared" si="22"/>
        <v/>
      </c>
      <c r="I181" s="106" t="str">
        <f t="shared" si="22"/>
        <v/>
      </c>
      <c r="J181" s="106" t="str">
        <f t="shared" si="22"/>
        <v/>
      </c>
      <c r="K181" s="106" t="str">
        <f t="shared" si="22"/>
        <v/>
      </c>
      <c r="L181" s="106" t="str">
        <f t="shared" si="22"/>
        <v/>
      </c>
      <c r="M181" s="106" t="str">
        <f t="shared" si="22"/>
        <v/>
      </c>
      <c r="N181" s="23" t="str">
        <f>IF(COUNT(N176:N180),SUM(N176:N180),"")</f>
        <v/>
      </c>
      <c r="P181" s="275"/>
      <c r="Q181" s="254"/>
      <c r="R181" s="254"/>
      <c r="S181" s="254"/>
      <c r="T181" s="254"/>
      <c r="U181" s="254"/>
      <c r="V181" s="254"/>
      <c r="W181" s="254"/>
      <c r="X181" s="254"/>
      <c r="Y181" s="254"/>
    </row>
    <row r="182" spans="2:25" ht="31.5" hidden="1" customHeight="1" x14ac:dyDescent="0.35">
      <c r="B182" s="491" t="s">
        <v>36</v>
      </c>
      <c r="C182" s="492"/>
      <c r="D182" s="492"/>
      <c r="E182" s="107"/>
      <c r="F182" s="107"/>
      <c r="G182" s="107"/>
      <c r="H182" s="107"/>
      <c r="I182" s="107"/>
      <c r="J182" s="107"/>
      <c r="K182" s="107"/>
      <c r="L182" s="107"/>
      <c r="M182" s="107"/>
      <c r="N182" s="111"/>
    </row>
    <row r="183" spans="2:25" ht="18" hidden="1" customHeight="1" x14ac:dyDescent="0.35">
      <c r="B183" s="31"/>
      <c r="C183" s="91" t="s">
        <v>30</v>
      </c>
      <c r="D183" s="40"/>
      <c r="E183" s="104"/>
      <c r="F183" s="104"/>
      <c r="G183" s="104"/>
      <c r="H183" s="104"/>
      <c r="I183" s="104"/>
      <c r="J183" s="104"/>
      <c r="K183" s="104"/>
      <c r="L183" s="104"/>
      <c r="M183" s="104"/>
      <c r="N183" s="105" t="str">
        <f>IF(COUNT(E183:M183),SUM(E183:M183),"")</f>
        <v/>
      </c>
    </row>
    <row r="184" spans="2:25" ht="18" hidden="1" customHeight="1" x14ac:dyDescent="0.35">
      <c r="B184" s="86"/>
      <c r="C184" s="110" t="s">
        <v>31</v>
      </c>
      <c r="D184" s="87"/>
      <c r="E184" s="108"/>
      <c r="F184" s="108"/>
      <c r="G184" s="108"/>
      <c r="H184" s="108"/>
      <c r="I184" s="108"/>
      <c r="J184" s="108"/>
      <c r="K184" s="108"/>
      <c r="L184" s="108"/>
      <c r="M184" s="108"/>
      <c r="N184" s="109" t="str">
        <f>IF(COUNT(E184:M184),SUM(E184:M184),"")</f>
        <v/>
      </c>
    </row>
    <row r="185" spans="2:25" ht="18" hidden="1" customHeight="1" x14ac:dyDescent="0.35">
      <c r="B185" s="31"/>
      <c r="C185" s="91" t="s">
        <v>32</v>
      </c>
      <c r="D185" s="40"/>
      <c r="E185" s="100"/>
      <c r="F185" s="100"/>
      <c r="G185" s="100"/>
      <c r="H185" s="100"/>
      <c r="I185" s="100"/>
      <c r="J185" s="100"/>
      <c r="K185" s="100"/>
      <c r="L185" s="100"/>
      <c r="M185" s="100"/>
      <c r="N185" s="101" t="str">
        <f>IF(COUNT(E185:M185),SUM(E185:M185),"")</f>
        <v/>
      </c>
    </row>
    <row r="186" spans="2:25" ht="18" hidden="1" customHeight="1" x14ac:dyDescent="0.35">
      <c r="B186" s="86"/>
      <c r="C186" s="110" t="s">
        <v>33</v>
      </c>
      <c r="D186" s="87"/>
      <c r="E186" s="108"/>
      <c r="F186" s="108"/>
      <c r="G186" s="108"/>
      <c r="H186" s="108"/>
      <c r="I186" s="108"/>
      <c r="J186" s="108"/>
      <c r="K186" s="108"/>
      <c r="L186" s="108"/>
      <c r="M186" s="108"/>
      <c r="N186" s="109" t="str">
        <f>IF(COUNT(E186:M186),SUM(E186:M186),"")</f>
        <v/>
      </c>
    </row>
    <row r="187" spans="2:25" ht="18" hidden="1" customHeight="1" x14ac:dyDescent="0.35">
      <c r="B187" s="356" t="s">
        <v>18</v>
      </c>
      <c r="C187" s="357"/>
      <c r="D187" s="358"/>
      <c r="E187" s="106" t="str">
        <f>IF(OR(E183="",E184="",E185="",E186="",),"",SUM(E183:E186))</f>
        <v/>
      </c>
      <c r="F187" s="106" t="str">
        <f t="shared" ref="F187:M187" si="23">IF(OR(F183="",F184="",F185="",F186="",),"",SUM(F183:F186))</f>
        <v/>
      </c>
      <c r="G187" s="106" t="str">
        <f t="shared" si="23"/>
        <v/>
      </c>
      <c r="H187" s="106" t="str">
        <f t="shared" si="23"/>
        <v/>
      </c>
      <c r="I187" s="106" t="str">
        <f t="shared" si="23"/>
        <v/>
      </c>
      <c r="J187" s="106" t="str">
        <f t="shared" si="23"/>
        <v/>
      </c>
      <c r="K187" s="106" t="str">
        <f t="shared" si="23"/>
        <v/>
      </c>
      <c r="L187" s="106" t="str">
        <f t="shared" si="23"/>
        <v/>
      </c>
      <c r="M187" s="106" t="str">
        <f t="shared" si="23"/>
        <v/>
      </c>
      <c r="N187" s="23" t="str">
        <f>IF(COUNT(N183:N186),SUM(N183:N186),"")</f>
        <v/>
      </c>
      <c r="P187" s="275"/>
      <c r="Q187" s="254"/>
      <c r="R187" s="254"/>
      <c r="S187" s="254"/>
      <c r="T187" s="254"/>
      <c r="U187" s="254"/>
      <c r="V187" s="254"/>
      <c r="W187" s="254"/>
      <c r="X187" s="254"/>
      <c r="Y187" s="254"/>
    </row>
    <row r="188" spans="2:25" ht="31.5" hidden="1" customHeight="1" x14ac:dyDescent="0.35">
      <c r="B188" s="491" t="s">
        <v>37</v>
      </c>
      <c r="C188" s="492"/>
      <c r="D188" s="492"/>
      <c r="E188" s="107"/>
      <c r="F188" s="107"/>
      <c r="G188" s="107"/>
      <c r="H188" s="107"/>
      <c r="I188" s="107"/>
      <c r="J188" s="107"/>
      <c r="K188" s="107"/>
      <c r="L188" s="107"/>
      <c r="M188" s="107"/>
      <c r="N188" s="114"/>
    </row>
    <row r="189" spans="2:25" ht="18" hidden="1" customHeight="1" x14ac:dyDescent="0.35">
      <c r="B189" s="31"/>
      <c r="C189" s="91" t="s">
        <v>30</v>
      </c>
      <c r="D189" s="40"/>
      <c r="E189" s="104"/>
      <c r="F189" s="104"/>
      <c r="G189" s="104"/>
      <c r="H189" s="104"/>
      <c r="I189" s="104"/>
      <c r="J189" s="104"/>
      <c r="K189" s="104"/>
      <c r="L189" s="104"/>
      <c r="M189" s="104"/>
      <c r="N189" s="105" t="str">
        <f>IF(COUNT(E189:M189),SUM(E189:M189),"")</f>
        <v/>
      </c>
    </row>
    <row r="190" spans="2:25" ht="28.5" hidden="1" customHeight="1" x14ac:dyDescent="0.35">
      <c r="B190" s="86"/>
      <c r="C190" s="110" t="s">
        <v>31</v>
      </c>
      <c r="D190" s="87"/>
      <c r="E190" s="108"/>
      <c r="F190" s="108"/>
      <c r="G190" s="108"/>
      <c r="H190" s="108"/>
      <c r="I190" s="108"/>
      <c r="J190" s="108"/>
      <c r="K190" s="108"/>
      <c r="L190" s="108"/>
      <c r="M190" s="108"/>
      <c r="N190" s="109" t="str">
        <f>IF(COUNT(E190:M190),SUM(E190:M190),"")</f>
        <v/>
      </c>
    </row>
    <row r="191" spans="2:25" ht="30.75" hidden="1" customHeight="1" x14ac:dyDescent="0.35">
      <c r="B191" s="31"/>
      <c r="C191" s="91" t="s">
        <v>32</v>
      </c>
      <c r="D191" s="40"/>
      <c r="E191" s="100"/>
      <c r="F191" s="100"/>
      <c r="G191" s="100"/>
      <c r="H191" s="100"/>
      <c r="I191" s="100"/>
      <c r="J191" s="100"/>
      <c r="K191" s="100"/>
      <c r="L191" s="100"/>
      <c r="M191" s="100"/>
      <c r="N191" s="101" t="str">
        <f>IF(COUNT(E191:M191),SUM(E191:M191),"")</f>
        <v/>
      </c>
    </row>
    <row r="192" spans="2:25" ht="24" hidden="1" customHeight="1" x14ac:dyDescent="0.35">
      <c r="B192" s="86"/>
      <c r="C192" s="110" t="s">
        <v>33</v>
      </c>
      <c r="D192" s="87"/>
      <c r="E192" s="108"/>
      <c r="F192" s="108"/>
      <c r="G192" s="108"/>
      <c r="H192" s="108"/>
      <c r="I192" s="108"/>
      <c r="J192" s="108"/>
      <c r="K192" s="108"/>
      <c r="L192" s="108"/>
      <c r="M192" s="108"/>
      <c r="N192" s="109" t="str">
        <f>IF(COUNT(E192:M192),SUM(E192:M192),"")</f>
        <v/>
      </c>
    </row>
    <row r="193" spans="2:25" ht="22.5" hidden="1" customHeight="1" x14ac:dyDescent="0.35">
      <c r="B193" s="356" t="s">
        <v>15</v>
      </c>
      <c r="C193" s="357"/>
      <c r="D193" s="358"/>
      <c r="E193" s="106" t="str">
        <f>IF(OR(E189="",E190="",E191="",E192="",),"",SUM(E189:E192))</f>
        <v/>
      </c>
      <c r="F193" s="106" t="str">
        <f t="shared" ref="F193:M193" si="24">IF(OR(F189="",F190="",F191="",F192="",),"",SUM(F189:F192))</f>
        <v/>
      </c>
      <c r="G193" s="106" t="str">
        <f t="shared" si="24"/>
        <v/>
      </c>
      <c r="H193" s="106" t="str">
        <f t="shared" si="24"/>
        <v/>
      </c>
      <c r="I193" s="106" t="str">
        <f t="shared" si="24"/>
        <v/>
      </c>
      <c r="J193" s="106" t="str">
        <f t="shared" si="24"/>
        <v/>
      </c>
      <c r="K193" s="106" t="str">
        <f t="shared" si="24"/>
        <v/>
      </c>
      <c r="L193" s="106" t="str">
        <f t="shared" si="24"/>
        <v/>
      </c>
      <c r="M193" s="106" t="str">
        <f t="shared" si="24"/>
        <v/>
      </c>
      <c r="N193" s="23" t="str">
        <f>IF(COUNT(N189:N192),SUM(N189:N192),"")</f>
        <v/>
      </c>
      <c r="P193" s="275"/>
      <c r="Q193" s="254"/>
      <c r="R193" s="254"/>
      <c r="S193" s="254"/>
      <c r="T193" s="254"/>
      <c r="U193" s="254"/>
      <c r="V193" s="254"/>
      <c r="W193" s="254"/>
      <c r="X193" s="254"/>
      <c r="Y193" s="254"/>
    </row>
    <row r="194" spans="2:25" ht="45.75" hidden="1" customHeight="1" x14ac:dyDescent="0.35">
      <c r="B194" s="494"/>
      <c r="C194" s="495"/>
      <c r="D194" s="496"/>
      <c r="E194" s="146" t="str">
        <f t="shared" ref="E194:G194" si="25">IF(OR(E171="",E173=""),"",IF(ISERROR(E173/E171),1,E173/E171))</f>
        <v/>
      </c>
      <c r="F194" s="146" t="str">
        <f t="shared" si="25"/>
        <v/>
      </c>
      <c r="G194" s="146" t="str">
        <f t="shared" si="25"/>
        <v/>
      </c>
      <c r="H194" s="146" t="str">
        <f>IF(OR(H171="",H173=""),"",IF(ISERROR(H173/H171),1,H173/H171))</f>
        <v/>
      </c>
      <c r="I194" s="146" t="str">
        <f t="shared" ref="I194:M194" si="26">IF(OR(I171="",I173=""),"",IF(ISERROR(I173/I171),1,I173/I171))</f>
        <v/>
      </c>
      <c r="J194" s="146" t="str">
        <f t="shared" si="26"/>
        <v/>
      </c>
      <c r="K194" s="146" t="str">
        <f t="shared" si="26"/>
        <v/>
      </c>
      <c r="L194" s="146" t="str">
        <f t="shared" si="26"/>
        <v/>
      </c>
      <c r="M194" s="146" t="str">
        <f t="shared" si="26"/>
        <v/>
      </c>
      <c r="N194" s="289">
        <f>IFERROR(AVERAGE(E194:M194),0)</f>
        <v>0</v>
      </c>
      <c r="O194" s="177" t="str">
        <f>IF(P194=1, "&lt;===", "")</f>
        <v/>
      </c>
      <c r="P194" s="167"/>
    </row>
    <row r="195" spans="2:25" ht="58.5" customHeight="1" x14ac:dyDescent="0.35">
      <c r="B195" s="363" t="str">
        <f>IF(AND(N170&lt;&gt;"", N171&lt;&gt;"",N173&lt;&gt;"",B196=""),"Completion of the analysis and action plan boxes to the right are required ==&gt;.","")</f>
        <v/>
      </c>
      <c r="C195" s="363"/>
      <c r="D195" s="363"/>
      <c r="E195" s="363"/>
      <c r="F195" s="363"/>
      <c r="G195" s="363"/>
      <c r="H195" s="363"/>
      <c r="I195" s="363"/>
      <c r="J195" s="363"/>
      <c r="K195" s="363"/>
      <c r="L195" s="363"/>
      <c r="M195" s="363"/>
      <c r="N195" s="363"/>
      <c r="O195" s="167"/>
      <c r="P195" s="167"/>
    </row>
    <row r="196" spans="2:25" ht="51.75" customHeight="1" x14ac:dyDescent="0.35">
      <c r="B196" s="516" t="str">
        <f>IF(AND(E169&lt;E170,E169&lt;&gt;""),"Error has occurred; The total number of surveys sent cannot be more than the total number of graduates placed.",IF(AND(E170&lt;E171,E170&lt;&gt;"",E171&lt;&gt;""),"Error has occurred; The total number of surveys returned cannot be more than the total number of surveys sent.",IF(OR(AND(E169&lt;&gt;"",E170="",D411&lt;&gt;""),AND(E169&lt;&gt;"",E171="",D411&lt;&gt;"")),"Please Note: An empty or blank cell is not the same a zero.","")))</f>
        <v/>
      </c>
      <c r="C196" s="516"/>
      <c r="D196" s="516"/>
      <c r="E196" s="516"/>
      <c r="F196" s="516"/>
      <c r="G196" s="516"/>
      <c r="H196" s="516"/>
      <c r="I196" s="516"/>
      <c r="J196" s="516"/>
      <c r="K196" s="516"/>
      <c r="L196" s="516"/>
      <c r="M196" s="516"/>
      <c r="N196" s="516"/>
      <c r="O196" s="167"/>
    </row>
    <row r="198" spans="2:25" ht="79.5" customHeight="1" x14ac:dyDescent="0.35">
      <c r="B198" s="444" t="s">
        <v>66</v>
      </c>
      <c r="C198" s="445"/>
      <c r="D198" s="445"/>
      <c r="E198" s="445"/>
      <c r="F198" s="445"/>
      <c r="G198" s="445"/>
      <c r="H198" s="445"/>
      <c r="I198" s="445"/>
      <c r="J198" s="445"/>
      <c r="K198" s="445"/>
      <c r="L198" s="445"/>
      <c r="M198" s="445"/>
      <c r="N198" s="446"/>
      <c r="P198" s="259"/>
    </row>
    <row r="201" spans="2:25" x14ac:dyDescent="0.35">
      <c r="B201" s="14"/>
      <c r="C201" s="15">
        <f>$D$16</f>
        <v>600000</v>
      </c>
      <c r="D201" s="402" t="str">
        <f>$D$18</f>
        <v>Accordance Community College</v>
      </c>
      <c r="E201" s="402"/>
      <c r="F201" s="402"/>
      <c r="G201" s="402"/>
      <c r="H201" s="402"/>
      <c r="I201" s="402"/>
      <c r="J201" s="402"/>
      <c r="K201" s="402"/>
    </row>
    <row r="203" spans="2:25" ht="23.25" customHeight="1" x14ac:dyDescent="0.4">
      <c r="B203" s="32" t="s">
        <v>16</v>
      </c>
      <c r="C203" s="33"/>
      <c r="D203" s="33"/>
      <c r="E203" s="33"/>
      <c r="F203" s="33"/>
      <c r="G203" s="33"/>
      <c r="H203" s="33"/>
      <c r="I203" s="33"/>
      <c r="J203" s="33"/>
      <c r="K203" s="33"/>
      <c r="L203" s="33"/>
      <c r="M203" s="33"/>
      <c r="N203" s="34"/>
    </row>
    <row r="204" spans="2:25" ht="74.25" customHeight="1" x14ac:dyDescent="0.35">
      <c r="B204" s="513" t="s">
        <v>154</v>
      </c>
      <c r="C204" s="514"/>
      <c r="D204" s="514"/>
      <c r="E204" s="514"/>
      <c r="F204" s="514"/>
      <c r="G204" s="514"/>
      <c r="H204" s="514"/>
      <c r="I204" s="514"/>
      <c r="J204" s="514"/>
      <c r="K204" s="514"/>
      <c r="L204" s="514"/>
      <c r="M204" s="514"/>
      <c r="N204" s="515"/>
    </row>
    <row r="205" spans="2:25" ht="16.5" customHeight="1" x14ac:dyDescent="0.35">
      <c r="B205" s="554" t="s">
        <v>155</v>
      </c>
      <c r="C205" s="555"/>
      <c r="D205" s="555"/>
      <c r="E205" s="555"/>
      <c r="F205" s="555"/>
      <c r="G205" s="555"/>
      <c r="H205" s="555"/>
      <c r="I205" s="555"/>
      <c r="J205" s="555"/>
      <c r="K205" s="555"/>
      <c r="L205" s="555"/>
      <c r="M205" s="555"/>
      <c r="N205" s="556"/>
    </row>
    <row r="206" spans="2:25" ht="14.25" customHeight="1" x14ac:dyDescent="0.35">
      <c r="B206" s="558"/>
      <c r="C206" s="559"/>
      <c r="D206" s="559"/>
      <c r="E206" s="559"/>
      <c r="F206" s="559"/>
      <c r="G206" s="559"/>
      <c r="H206" s="559"/>
      <c r="I206" s="559"/>
      <c r="J206" s="559"/>
      <c r="K206" s="559"/>
      <c r="L206" s="559"/>
      <c r="M206" s="559"/>
      <c r="N206" s="560"/>
    </row>
    <row r="208" spans="2:25" ht="32.25" customHeight="1" x14ac:dyDescent="0.35">
      <c r="B208" s="35"/>
      <c r="C208" s="557" t="str">
        <f>"Was there a RAM completed in the " &amp;D4 &amp;" calendar year?"</f>
        <v>Was there a RAM completed in the 2023 calendar year?</v>
      </c>
      <c r="D208" s="557"/>
      <c r="E208" s="557"/>
      <c r="F208" s="557"/>
      <c r="G208" s="521" t="s">
        <v>163</v>
      </c>
      <c r="H208" s="522"/>
      <c r="J208" s="527" t="str">
        <f>IF(G208="No", "Please Note:  A Resource Assessment Matrix must be 
         completed on an annual basis.", "")</f>
        <v>Please Note:  A Resource Assessment Matrix must be 
         completed on an annual basis.</v>
      </c>
      <c r="K208" s="527"/>
      <c r="L208" s="527"/>
      <c r="M208" s="527"/>
      <c r="N208" s="527"/>
      <c r="O208" s="197" t="str">
        <f>IF(P208=1, "&lt;===", "")</f>
        <v/>
      </c>
      <c r="P208" s="167" t="str">
        <f>IF(AND(G208="Please Select",D411&lt;&gt;""), 1, "")</f>
        <v/>
      </c>
    </row>
    <row r="210" spans="2:93" ht="54.75" customHeight="1" x14ac:dyDescent="0.35">
      <c r="B210" s="315" t="s">
        <v>19</v>
      </c>
      <c r="C210" s="451" t="str">
        <f>IF(G208="Yes","Were all of the Resource Assessment Matrix [RAM] categories equal to or above 80% in the " &amp;D4 &amp;" calendar year?","")</f>
        <v/>
      </c>
      <c r="D210" s="451"/>
      <c r="E210" s="451"/>
      <c r="F210" s="451"/>
      <c r="G210" s="452" t="s">
        <v>23</v>
      </c>
      <c r="H210" s="452"/>
      <c r="J210" s="463" t="str">
        <f>IF(G210="Yes", "Congratulations!!  All Resource Assessment Matrix categories have been indicated as Met.  Please scroll down to the General Information section below.", "")</f>
        <v/>
      </c>
      <c r="K210" s="463"/>
      <c r="L210" s="463"/>
      <c r="M210" s="463"/>
      <c r="N210" s="463"/>
      <c r="O210" s="170" t="str">
        <f>IF(P210=1, "&lt;===", "")</f>
        <v/>
      </c>
      <c r="P210" s="167" t="str">
        <f>IF(AND(G208="Yes",G210="Please Select",D411&lt;&gt;""), 1, "")</f>
        <v/>
      </c>
    </row>
    <row r="211" spans="2:93" ht="10.5" customHeight="1" x14ac:dyDescent="0.35"/>
    <row r="212" spans="2:93" ht="18" customHeight="1" x14ac:dyDescent="0.35">
      <c r="C212" s="354" t="str">
        <f>IF(AND(G210="No",G208="Yes"),"Number of deficient resource categories:", "")</f>
        <v/>
      </c>
      <c r="D212" s="354"/>
      <c r="E212" s="354"/>
      <c r="F212" s="354"/>
      <c r="G212" s="438"/>
      <c r="H212" s="438"/>
      <c r="I212" s="38"/>
      <c r="J212" s="38"/>
      <c r="K212" s="493"/>
      <c r="L212" s="493"/>
      <c r="O212" s="197" t="str">
        <f>IF(P212=1, "&lt;===", "")</f>
        <v/>
      </c>
      <c r="P212" s="167" t="str">
        <f>IF(AND(G210="No",G208="Yes",G212="",D411&lt;&gt;""), 1, "")</f>
        <v/>
      </c>
    </row>
    <row r="215" spans="2:93" ht="31.5" customHeight="1" x14ac:dyDescent="0.35">
      <c r="B215" s="36"/>
      <c r="C215" s="410" t="str">
        <f>IF(G212&gt;=1,"Deficient Resource Category #1:", "")</f>
        <v/>
      </c>
      <c r="D215" s="410"/>
      <c r="E215" s="352"/>
      <c r="F215" s="352"/>
      <c r="G215" s="352"/>
      <c r="H215" s="203" t="str">
        <f>IF(H216=1, "&lt;===", "")</f>
        <v/>
      </c>
      <c r="I215" s="353" t="str">
        <f>IF(G212&gt;=6,"Deficient Resource Category #6:", "")</f>
        <v/>
      </c>
      <c r="J215" s="353"/>
      <c r="K215" s="353"/>
      <c r="L215" s="352"/>
      <c r="M215" s="352"/>
      <c r="N215" s="352"/>
      <c r="O215" s="203" t="str">
        <f>IF(O216=1, "&lt;===", "")</f>
        <v/>
      </c>
      <c r="P215" s="293"/>
      <c r="Q215" s="293"/>
      <c r="R215" s="293"/>
      <c r="S215" s="293"/>
      <c r="X215" s="197"/>
      <c r="Y215" s="293"/>
      <c r="Z215" s="293"/>
      <c r="AA215" s="293"/>
      <c r="AB215" s="293"/>
      <c r="AG215" s="197"/>
      <c r="AI215" s="293"/>
      <c r="AJ215" s="293"/>
      <c r="AK215" s="293"/>
      <c r="AL215" s="293"/>
      <c r="AQ215" s="197"/>
      <c r="AR215" s="293"/>
      <c r="AS215" s="293"/>
      <c r="AT215" s="293"/>
      <c r="AU215" s="293"/>
      <c r="AZ215" s="197"/>
      <c r="BA215" s="293"/>
      <c r="BB215" s="293"/>
      <c r="BC215" s="293"/>
      <c r="BD215" s="293"/>
      <c r="BI215" s="197"/>
      <c r="BJ215" s="293"/>
      <c r="BK215" s="293"/>
      <c r="BL215" s="293"/>
      <c r="BM215" s="293"/>
      <c r="BR215" s="197"/>
      <c r="BS215" s="293"/>
      <c r="BT215" s="293"/>
      <c r="BU215" s="293"/>
      <c r="BV215" s="293"/>
      <c r="CA215" s="197"/>
      <c r="CB215" s="293"/>
      <c r="CC215" s="293"/>
      <c r="CD215" s="293"/>
      <c r="CE215" s="293"/>
      <c r="CJ215" s="197"/>
      <c r="CK215" s="311"/>
      <c r="CL215" s="311"/>
      <c r="CM215" s="311"/>
      <c r="CN215" s="311"/>
      <c r="CO215" s="311"/>
    </row>
    <row r="216" spans="2:93" ht="12" customHeight="1" x14ac:dyDescent="0.35">
      <c r="C216" s="37"/>
      <c r="D216" s="297"/>
      <c r="E216" s="297"/>
      <c r="F216" s="297"/>
      <c r="G216" s="297"/>
      <c r="H216" s="167" t="str">
        <f>IF(AND(G210="No",G208="Yes",G212&gt;=1,E215="",D411&lt;&gt;""),1,"")</f>
        <v/>
      </c>
      <c r="I216" s="37"/>
      <c r="O216" s="171" t="str">
        <f>IF(AND(G210="No",G208="Yes",G212&gt;=6,L215="",D411&lt;&gt;""),1,"")</f>
        <v/>
      </c>
      <c r="P216" s="278"/>
      <c r="X216" s="167"/>
      <c r="Y216" s="37"/>
      <c r="AG216" s="167"/>
      <c r="AI216" s="37"/>
      <c r="AQ216" s="167"/>
      <c r="AR216" s="37"/>
      <c r="AZ216" s="167"/>
      <c r="BA216" s="37"/>
      <c r="BI216" s="167"/>
      <c r="BJ216" s="37"/>
      <c r="BR216" s="167"/>
      <c r="BS216" s="37"/>
      <c r="CA216" s="167"/>
      <c r="CB216" s="37"/>
      <c r="CJ216" s="167"/>
    </row>
    <row r="217" spans="2:93" ht="31.5" customHeight="1" x14ac:dyDescent="0.35">
      <c r="C217" s="410" t="str">
        <f>IF($G$212&gt;=2,"Deficient Resource Category #2:", "")</f>
        <v/>
      </c>
      <c r="D217" s="410"/>
      <c r="E217" s="352"/>
      <c r="F217" s="352"/>
      <c r="G217" s="352"/>
      <c r="H217" s="197" t="str">
        <f>IF(H218=1, "&lt;===", "")</f>
        <v/>
      </c>
      <c r="I217" s="353" t="str">
        <f>IF(G212&gt;=7,"Deficient Resource Category #7:", "")</f>
        <v/>
      </c>
      <c r="J217" s="353"/>
      <c r="K217" s="353"/>
      <c r="L217" s="352"/>
      <c r="M217" s="352"/>
      <c r="N217" s="352"/>
      <c r="O217" s="203" t="str">
        <f>IF(O218=1, "&lt;===", "")</f>
        <v/>
      </c>
      <c r="P217" s="278" t="str">
        <f>IF(G212&gt;=3,"Provide a detailed ANALYSIS for category #3 in the box below","")</f>
        <v/>
      </c>
      <c r="Y217" s="37"/>
      <c r="AI217" s="37"/>
      <c r="AR217" s="37"/>
      <c r="BA217" s="37"/>
      <c r="BJ217" s="37"/>
      <c r="BS217" s="37"/>
      <c r="CB217" s="37"/>
    </row>
    <row r="218" spans="2:93" ht="12" customHeight="1" x14ac:dyDescent="0.35">
      <c r="C218" s="316"/>
      <c r="D218" s="316"/>
      <c r="E218" s="316"/>
      <c r="F218" s="316"/>
      <c r="G218" s="316"/>
      <c r="H218" s="294" t="str">
        <f>IF(AND(G210="No",G208="Yes",G212&gt;=2,E217="",D411&lt;&gt;""),1,"")</f>
        <v/>
      </c>
      <c r="I218" s="296"/>
      <c r="J218" s="296"/>
      <c r="K218" s="296"/>
      <c r="L218" s="296"/>
      <c r="M218" s="296"/>
      <c r="N218" s="296"/>
      <c r="O218" s="167" t="str">
        <f>IF(AND(G210="No",G208="Yes",G212&gt;=7,L217="",D411&lt;&gt;""),1,"")</f>
        <v/>
      </c>
      <c r="P218" s="296"/>
      <c r="Q218" s="296"/>
      <c r="R218" s="296"/>
      <c r="S218" s="296"/>
      <c r="T218" s="296"/>
      <c r="U218" s="296"/>
      <c r="V218" s="296"/>
      <c r="W218" s="296"/>
      <c r="X218" s="528"/>
      <c r="Y218" s="296"/>
      <c r="Z218" s="296"/>
      <c r="AA218" s="296"/>
      <c r="AB218" s="296"/>
      <c r="AC218" s="296"/>
      <c r="AD218" s="296"/>
      <c r="AE218" s="296"/>
      <c r="AF218" s="296"/>
      <c r="AG218" s="528"/>
      <c r="AH218" s="295"/>
      <c r="AI218" s="295"/>
      <c r="AJ218" s="295"/>
      <c r="AK218" s="295"/>
      <c r="AL218" s="295"/>
      <c r="AM218" s="295"/>
      <c r="AN218" s="295"/>
      <c r="AO218" s="295"/>
      <c r="AP218" s="295"/>
      <c r="AQ218" s="528"/>
      <c r="AR218" s="295"/>
      <c r="AS218" s="295"/>
      <c r="AT218" s="295"/>
      <c r="AU218" s="295"/>
      <c r="AV218" s="295"/>
      <c r="AW218" s="295"/>
      <c r="AX218" s="295"/>
      <c r="AY218" s="295"/>
      <c r="AZ218" s="528"/>
      <c r="BA218" s="295"/>
      <c r="BB218" s="295"/>
      <c r="BC218" s="295"/>
      <c r="BD218" s="295"/>
      <c r="BE218" s="295"/>
      <c r="BF218" s="295"/>
      <c r="BG218" s="295"/>
      <c r="BH218" s="295"/>
      <c r="BI218" s="528"/>
      <c r="BJ218" s="295"/>
      <c r="BK218" s="295"/>
      <c r="BL218" s="295"/>
      <c r="BM218" s="295"/>
      <c r="BN218" s="295"/>
      <c r="BO218" s="295"/>
      <c r="BP218" s="295"/>
      <c r="BQ218" s="295"/>
      <c r="BR218" s="528"/>
      <c r="BS218" s="295"/>
      <c r="BT218" s="295"/>
      <c r="BU218" s="295"/>
      <c r="BV218" s="295"/>
      <c r="BW218" s="295"/>
      <c r="BX218" s="295"/>
      <c r="BY218" s="295"/>
      <c r="BZ218" s="295"/>
      <c r="CA218" s="528"/>
      <c r="CB218" s="295"/>
      <c r="CC218" s="295"/>
      <c r="CD218" s="295"/>
      <c r="CE218" s="295"/>
      <c r="CF218" s="295"/>
      <c r="CG218" s="295"/>
      <c r="CH218" s="295"/>
      <c r="CI218" s="295"/>
      <c r="CJ218" s="528"/>
      <c r="CK218" s="295"/>
      <c r="CL218" s="295"/>
      <c r="CM218" s="295"/>
      <c r="CN218" s="295"/>
      <c r="CO218" s="295"/>
    </row>
    <row r="219" spans="2:93" ht="31.5" customHeight="1" x14ac:dyDescent="0.35">
      <c r="C219" s="410" t="str">
        <f>IF(G212&gt;=3,"Deficient Resource Category #3:", "")</f>
        <v/>
      </c>
      <c r="D219" s="410"/>
      <c r="E219" s="352"/>
      <c r="F219" s="352"/>
      <c r="G219" s="352"/>
      <c r="H219" s="197" t="str">
        <f>IF(H220=1, "&lt;===", "")</f>
        <v/>
      </c>
      <c r="I219" s="353" t="str">
        <f>IF(G212&gt;=8,"Deficient Resource Category #8:", "")</f>
        <v/>
      </c>
      <c r="J219" s="353"/>
      <c r="K219" s="353"/>
      <c r="L219" s="352"/>
      <c r="M219" s="352"/>
      <c r="N219" s="352"/>
      <c r="O219" s="203" t="str">
        <f>IF(O220=1, "&lt;===", "")</f>
        <v/>
      </c>
      <c r="P219" s="296"/>
      <c r="Q219" s="296"/>
      <c r="R219" s="296"/>
      <c r="S219" s="296"/>
      <c r="T219" s="296"/>
      <c r="U219" s="296"/>
      <c r="V219" s="296"/>
      <c r="W219" s="296"/>
      <c r="X219" s="528"/>
      <c r="Y219" s="296"/>
      <c r="Z219" s="296"/>
      <c r="AA219" s="296"/>
      <c r="AB219" s="296"/>
      <c r="AC219" s="296"/>
      <c r="AD219" s="296"/>
      <c r="AE219" s="296"/>
      <c r="AF219" s="296"/>
      <c r="AG219" s="528"/>
      <c r="AH219" s="295"/>
      <c r="AI219" s="295"/>
      <c r="AJ219" s="295"/>
      <c r="AK219" s="295"/>
      <c r="AL219" s="295"/>
      <c r="AM219" s="295"/>
      <c r="AN219" s="295"/>
      <c r="AO219" s="295"/>
      <c r="AP219" s="295"/>
      <c r="AQ219" s="528"/>
      <c r="AR219" s="295"/>
      <c r="AS219" s="295"/>
      <c r="AT219" s="295"/>
      <c r="AU219" s="295"/>
      <c r="AV219" s="295"/>
      <c r="AW219" s="295"/>
      <c r="AX219" s="295"/>
      <c r="AY219" s="295"/>
      <c r="AZ219" s="528"/>
      <c r="BA219" s="295"/>
      <c r="BB219" s="295"/>
      <c r="BC219" s="295"/>
      <c r="BD219" s="295"/>
      <c r="BE219" s="295"/>
      <c r="BF219" s="295"/>
      <c r="BG219" s="295"/>
      <c r="BH219" s="295"/>
      <c r="BI219" s="528"/>
      <c r="BJ219" s="295"/>
      <c r="BK219" s="295"/>
      <c r="BL219" s="295"/>
      <c r="BM219" s="295"/>
      <c r="BN219" s="295"/>
      <c r="BO219" s="295"/>
      <c r="BP219" s="295"/>
      <c r="BQ219" s="295"/>
      <c r="BR219" s="528"/>
      <c r="BS219" s="295"/>
      <c r="BT219" s="295"/>
      <c r="BU219" s="295"/>
      <c r="BV219" s="295"/>
      <c r="BW219" s="295"/>
      <c r="BX219" s="295"/>
      <c r="BY219" s="295"/>
      <c r="BZ219" s="295"/>
      <c r="CA219" s="528"/>
      <c r="CB219" s="295"/>
      <c r="CC219" s="295"/>
      <c r="CD219" s="295"/>
      <c r="CE219" s="295"/>
      <c r="CF219" s="295"/>
      <c r="CG219" s="295"/>
      <c r="CH219" s="295"/>
      <c r="CI219" s="295"/>
      <c r="CJ219" s="528"/>
      <c r="CK219" s="295"/>
      <c r="CL219" s="295"/>
      <c r="CM219" s="295"/>
      <c r="CN219" s="295"/>
      <c r="CO219" s="295"/>
    </row>
    <row r="220" spans="2:93" ht="12" customHeight="1" x14ac:dyDescent="0.35">
      <c r="C220" s="316"/>
      <c r="D220" s="316"/>
      <c r="E220" s="316"/>
      <c r="F220" s="316"/>
      <c r="G220" s="316"/>
      <c r="H220" s="171" t="str">
        <f>IF(AND(G210="No",G208="Yes",G212&gt;=3,E219="",D411&lt;&gt;""),1,"")</f>
        <v/>
      </c>
      <c r="I220" s="296"/>
      <c r="J220" s="296"/>
      <c r="K220" s="296"/>
      <c r="L220" s="296"/>
      <c r="M220" s="296"/>
      <c r="N220" s="296"/>
      <c r="O220" s="167" t="str">
        <f>IF(AND(G210="No",G208="Yes",G212&gt;=8,L219="",D411&lt;&gt;""),1,"")</f>
        <v/>
      </c>
      <c r="P220" s="296"/>
      <c r="Q220" s="296"/>
      <c r="R220" s="296"/>
      <c r="S220" s="296"/>
      <c r="T220" s="296"/>
      <c r="U220" s="296"/>
      <c r="V220" s="296"/>
      <c r="W220" s="296"/>
      <c r="X220" s="167"/>
      <c r="Y220" s="296"/>
      <c r="Z220" s="296"/>
      <c r="AA220" s="296"/>
      <c r="AB220" s="296"/>
      <c r="AC220" s="296"/>
      <c r="AD220" s="296"/>
      <c r="AE220" s="296"/>
      <c r="AF220" s="296"/>
      <c r="AG220" s="167"/>
      <c r="AH220" s="295"/>
      <c r="AI220" s="295"/>
      <c r="AJ220" s="295"/>
      <c r="AK220" s="295"/>
      <c r="AL220" s="295"/>
      <c r="AM220" s="295"/>
      <c r="AN220" s="295"/>
      <c r="AO220" s="295"/>
      <c r="AP220" s="295"/>
      <c r="AQ220" s="167"/>
      <c r="AR220" s="295"/>
      <c r="AS220" s="295"/>
      <c r="AT220" s="295"/>
      <c r="AU220" s="295"/>
      <c r="AV220" s="295"/>
      <c r="AW220" s="295"/>
      <c r="AX220" s="295"/>
      <c r="AY220" s="295"/>
      <c r="AZ220" s="167"/>
      <c r="BA220" s="295"/>
      <c r="BB220" s="295"/>
      <c r="BC220" s="295"/>
      <c r="BD220" s="295"/>
      <c r="BE220" s="295"/>
      <c r="BF220" s="295"/>
      <c r="BG220" s="295"/>
      <c r="BH220" s="295"/>
      <c r="BI220" s="167"/>
      <c r="BJ220" s="295"/>
      <c r="BK220" s="295"/>
      <c r="BL220" s="295"/>
      <c r="BM220" s="295"/>
      <c r="BN220" s="295"/>
      <c r="BO220" s="295"/>
      <c r="BP220" s="295"/>
      <c r="BQ220" s="295"/>
      <c r="BR220" s="167"/>
      <c r="BS220" s="295"/>
      <c r="BT220" s="295"/>
      <c r="BU220" s="295"/>
      <c r="BV220" s="295"/>
      <c r="BW220" s="295"/>
      <c r="BX220" s="295"/>
      <c r="BY220" s="295"/>
      <c r="BZ220" s="295"/>
      <c r="CA220" s="167"/>
      <c r="CB220" s="295"/>
      <c r="CC220" s="295"/>
      <c r="CD220" s="295"/>
      <c r="CE220" s="295"/>
      <c r="CF220" s="295"/>
      <c r="CG220" s="295"/>
      <c r="CH220" s="295"/>
      <c r="CI220" s="295"/>
      <c r="CJ220" s="167"/>
      <c r="CK220" s="295"/>
      <c r="CL220" s="295"/>
      <c r="CM220" s="295"/>
      <c r="CN220" s="295"/>
      <c r="CO220" s="295"/>
    </row>
    <row r="221" spans="2:93" ht="31.5" customHeight="1" x14ac:dyDescent="0.35">
      <c r="C221" s="410" t="str">
        <f>IF(G212&gt;=4,"Deficient Resource Category #4:", "")</f>
        <v/>
      </c>
      <c r="D221" s="410"/>
      <c r="E221" s="352"/>
      <c r="F221" s="352"/>
      <c r="G221" s="352"/>
      <c r="H221" s="197" t="str">
        <f>IF(H222=1, "&lt;===", "")</f>
        <v/>
      </c>
      <c r="I221" s="353" t="str">
        <f>IF(G212&gt;=9,"Deficient Resource Category #9:", "")</f>
        <v/>
      </c>
      <c r="J221" s="353"/>
      <c r="K221" s="353"/>
      <c r="L221" s="352"/>
      <c r="M221" s="352"/>
      <c r="N221" s="352"/>
      <c r="O221" s="203" t="str">
        <f>IF(O222=1, "&lt;===", "")</f>
        <v/>
      </c>
      <c r="P221" s="296"/>
      <c r="Q221" s="296"/>
      <c r="R221" s="296"/>
      <c r="S221" s="296"/>
      <c r="T221" s="296"/>
      <c r="U221" s="296"/>
      <c r="V221" s="296"/>
      <c r="W221" s="296"/>
      <c r="X221" s="295"/>
      <c r="Y221" s="296"/>
      <c r="Z221" s="296"/>
      <c r="AA221" s="296"/>
      <c r="AB221" s="296"/>
      <c r="AC221" s="296"/>
      <c r="AD221" s="296"/>
      <c r="AE221" s="296"/>
      <c r="AF221" s="296"/>
      <c r="AG221" s="295"/>
      <c r="AH221" s="295"/>
      <c r="AI221" s="295"/>
      <c r="AJ221" s="295"/>
      <c r="AK221" s="295"/>
      <c r="AL221" s="295"/>
      <c r="AM221" s="295"/>
      <c r="AN221" s="295"/>
      <c r="AO221" s="295"/>
      <c r="AP221" s="295"/>
      <c r="AQ221" s="295"/>
      <c r="AR221" s="295"/>
      <c r="AS221" s="295"/>
      <c r="AT221" s="295"/>
      <c r="AU221" s="295"/>
      <c r="AV221" s="295"/>
      <c r="AW221" s="295"/>
      <c r="AX221" s="295"/>
      <c r="AY221" s="295"/>
      <c r="BA221" s="295"/>
      <c r="BB221" s="295"/>
      <c r="BC221" s="295"/>
      <c r="BD221" s="295"/>
      <c r="BE221" s="295"/>
      <c r="BF221" s="295"/>
      <c r="BG221" s="295"/>
      <c r="BH221" s="295"/>
      <c r="BI221" s="295"/>
      <c r="BJ221" s="295"/>
      <c r="BK221" s="295"/>
      <c r="BL221" s="295"/>
      <c r="BM221" s="295"/>
      <c r="BN221" s="295"/>
      <c r="BO221" s="295"/>
      <c r="BP221" s="295"/>
      <c r="BQ221" s="295"/>
      <c r="BS221" s="295"/>
      <c r="BT221" s="295"/>
      <c r="BU221" s="295"/>
      <c r="BV221" s="295"/>
      <c r="BW221" s="295"/>
      <c r="BX221" s="295"/>
      <c r="BY221" s="295"/>
      <c r="BZ221" s="295"/>
      <c r="CA221" s="295"/>
      <c r="CB221" s="295"/>
      <c r="CC221" s="295"/>
      <c r="CD221" s="295"/>
      <c r="CE221" s="295"/>
      <c r="CF221" s="295"/>
      <c r="CG221" s="295"/>
      <c r="CH221" s="295"/>
      <c r="CI221" s="295"/>
      <c r="CJ221" s="295"/>
      <c r="CK221" s="295"/>
      <c r="CL221" s="295"/>
      <c r="CM221" s="295"/>
      <c r="CN221" s="295"/>
      <c r="CO221" s="295"/>
    </row>
    <row r="222" spans="2:93" ht="12" customHeight="1" x14ac:dyDescent="0.35">
      <c r="C222" s="316"/>
      <c r="D222" s="316"/>
      <c r="E222" s="316"/>
      <c r="F222" s="316"/>
      <c r="G222" s="316"/>
      <c r="H222" s="298" t="str">
        <f>IF(AND(G210="No",G208="Yes",G212&gt;=4,E221="",D411&lt;&gt;""),1,"")</f>
        <v/>
      </c>
      <c r="I222" s="296"/>
      <c r="J222" s="296"/>
      <c r="K222" s="296"/>
      <c r="L222" s="296"/>
      <c r="M222" s="296"/>
      <c r="N222" s="296"/>
      <c r="O222" s="198" t="str">
        <f>IF(AND(G210="No",G208="Yes",G212&gt;=9,L221="",D411&lt;&gt;""),1,"")</f>
        <v/>
      </c>
      <c r="P222" s="296"/>
      <c r="Q222" s="296"/>
      <c r="R222" s="296"/>
      <c r="S222" s="296"/>
      <c r="T222" s="296"/>
      <c r="U222" s="296"/>
      <c r="V222" s="296"/>
      <c r="W222" s="296"/>
      <c r="X222" s="295"/>
      <c r="Y222" s="296"/>
      <c r="Z222" s="296"/>
      <c r="AA222" s="296"/>
      <c r="AB222" s="296"/>
      <c r="AC222" s="296"/>
      <c r="AD222" s="296"/>
      <c r="AE222" s="296"/>
      <c r="AF222" s="296"/>
      <c r="AG222" s="295"/>
      <c r="AH222" s="295"/>
      <c r="AI222" s="295"/>
      <c r="AJ222" s="295"/>
      <c r="AK222" s="295"/>
      <c r="AL222" s="295"/>
      <c r="AM222" s="295"/>
      <c r="AN222" s="295"/>
      <c r="AO222" s="295"/>
      <c r="AP222" s="295"/>
      <c r="AQ222" s="295"/>
      <c r="AR222" s="295"/>
      <c r="AS222" s="295"/>
      <c r="AT222" s="295"/>
      <c r="AU222" s="295"/>
      <c r="AV222" s="295"/>
      <c r="AW222" s="295"/>
      <c r="AX222" s="295"/>
      <c r="AY222" s="295"/>
      <c r="BA222" s="295"/>
      <c r="BB222" s="295"/>
      <c r="BC222" s="295"/>
      <c r="BD222" s="295"/>
      <c r="BE222" s="295"/>
      <c r="BF222" s="295"/>
      <c r="BG222" s="295"/>
      <c r="BH222" s="295"/>
      <c r="BI222" s="295"/>
      <c r="BJ222" s="295"/>
      <c r="BK222" s="295"/>
      <c r="BL222" s="295"/>
      <c r="BM222" s="295"/>
      <c r="BN222" s="295"/>
      <c r="BO222" s="295"/>
      <c r="BP222" s="295"/>
      <c r="BQ222" s="295"/>
      <c r="BS222" s="295"/>
      <c r="BT222" s="295"/>
      <c r="BU222" s="295"/>
      <c r="BV222" s="295"/>
      <c r="BW222" s="295"/>
      <c r="BX222" s="295"/>
      <c r="BY222" s="295"/>
      <c r="BZ222" s="295"/>
      <c r="CA222" s="295"/>
      <c r="CB222" s="295"/>
      <c r="CC222" s="295"/>
      <c r="CD222" s="295"/>
      <c r="CE222" s="295"/>
      <c r="CF222" s="295"/>
      <c r="CG222" s="295"/>
      <c r="CH222" s="295"/>
      <c r="CI222" s="295"/>
      <c r="CJ222" s="295"/>
      <c r="CK222" s="295"/>
      <c r="CL222" s="295"/>
      <c r="CM222" s="295"/>
      <c r="CN222" s="295"/>
      <c r="CO222" s="295"/>
    </row>
    <row r="223" spans="2:93" ht="31.5" customHeight="1" x14ac:dyDescent="0.35">
      <c r="C223" s="410" t="str">
        <f>IF(G212&gt;=5,"Deficient Resource Category #5:", "")</f>
        <v/>
      </c>
      <c r="D223" s="410"/>
      <c r="E223" s="352"/>
      <c r="F223" s="352"/>
      <c r="G223" s="352"/>
      <c r="H223" s="197" t="str">
        <f>IF(H224=1, "&lt;===", "")</f>
        <v/>
      </c>
      <c r="I223" s="353" t="str">
        <f>IF(G212&gt;=10,"Deficient Resource Category #10:", "")</f>
        <v/>
      </c>
      <c r="J223" s="353"/>
      <c r="K223" s="353"/>
      <c r="L223" s="352"/>
      <c r="M223" s="352"/>
      <c r="N223" s="352"/>
      <c r="O223" s="203" t="str">
        <f>IF(O224=1, "&lt;===", "")</f>
        <v/>
      </c>
      <c r="P223" s="296"/>
      <c r="Q223" s="296"/>
      <c r="R223" s="296"/>
      <c r="S223" s="296"/>
      <c r="T223" s="296"/>
      <c r="U223" s="296"/>
      <c r="V223" s="296"/>
      <c r="W223" s="296"/>
      <c r="X223" s="295"/>
      <c r="Y223" s="296"/>
      <c r="Z223" s="296"/>
      <c r="AA223" s="296"/>
      <c r="AB223" s="296"/>
      <c r="AC223" s="296"/>
      <c r="AD223" s="296"/>
      <c r="AE223" s="296"/>
      <c r="AF223" s="296"/>
      <c r="AG223" s="295"/>
      <c r="AH223" s="295"/>
      <c r="AI223" s="295"/>
      <c r="AJ223" s="295"/>
      <c r="AK223" s="295"/>
      <c r="AL223" s="295"/>
      <c r="AM223" s="295"/>
      <c r="AN223" s="295"/>
      <c r="AO223" s="295"/>
      <c r="AP223" s="295"/>
      <c r="AQ223" s="295"/>
      <c r="AR223" s="295"/>
      <c r="AS223" s="295"/>
      <c r="AT223" s="295"/>
      <c r="AU223" s="295"/>
      <c r="AV223" s="295"/>
      <c r="AW223" s="295"/>
      <c r="AX223" s="295"/>
      <c r="AY223" s="295"/>
      <c r="BA223" s="295"/>
      <c r="BB223" s="295"/>
      <c r="BC223" s="295"/>
      <c r="BD223" s="295"/>
      <c r="BE223" s="295"/>
      <c r="BF223" s="295"/>
      <c r="BG223" s="295"/>
      <c r="BH223" s="295"/>
      <c r="BI223" s="295"/>
      <c r="BJ223" s="295"/>
      <c r="BK223" s="295"/>
      <c r="BL223" s="295"/>
      <c r="BM223" s="295"/>
      <c r="BN223" s="295"/>
      <c r="BO223" s="295"/>
      <c r="BP223" s="295"/>
      <c r="BQ223" s="295"/>
      <c r="BS223" s="295"/>
      <c r="BT223" s="295"/>
      <c r="BU223" s="295"/>
      <c r="BV223" s="295"/>
      <c r="BW223" s="295"/>
      <c r="BX223" s="295"/>
      <c r="BY223" s="295"/>
      <c r="BZ223" s="295"/>
      <c r="CA223" s="295"/>
      <c r="CB223" s="295"/>
      <c r="CC223" s="295"/>
      <c r="CD223" s="295"/>
      <c r="CE223" s="295"/>
      <c r="CF223" s="295"/>
      <c r="CG223" s="295"/>
      <c r="CH223" s="295"/>
      <c r="CI223" s="295"/>
      <c r="CJ223" s="295"/>
      <c r="CK223" s="295"/>
      <c r="CL223" s="295"/>
      <c r="CM223" s="295"/>
      <c r="CN223" s="295"/>
      <c r="CO223" s="295"/>
    </row>
    <row r="224" spans="2:93" ht="12" customHeight="1" x14ac:dyDescent="0.35">
      <c r="C224" s="316"/>
      <c r="D224" s="316"/>
      <c r="E224" s="316"/>
      <c r="F224" s="316"/>
      <c r="G224" s="316"/>
      <c r="H224" s="298" t="str">
        <f>IF(AND(G210="No",G208="Yes",G212&gt;=5,E223="",D411&lt;&gt;""),1,"")</f>
        <v/>
      </c>
      <c r="I224" s="296"/>
      <c r="J224" s="296"/>
      <c r="K224" s="296"/>
      <c r="L224" s="296"/>
      <c r="M224" s="296"/>
      <c r="N224" s="296"/>
      <c r="O224" s="198" t="str">
        <f>IF(AND(G210="No",G208="Yes",G212&gt;=10,L223="",D411&lt;&gt;""),1,"")</f>
        <v/>
      </c>
      <c r="P224" s="296"/>
      <c r="Q224" s="296"/>
      <c r="R224" s="296"/>
      <c r="S224" s="296"/>
      <c r="T224" s="296"/>
      <c r="U224" s="296"/>
      <c r="V224" s="296"/>
      <c r="W224" s="296"/>
      <c r="X224" s="295"/>
      <c r="Y224" s="296"/>
      <c r="Z224" s="296"/>
      <c r="AA224" s="296"/>
      <c r="AB224" s="296"/>
      <c r="AC224" s="296"/>
      <c r="AD224" s="296"/>
      <c r="AE224" s="296"/>
      <c r="AF224" s="296"/>
      <c r="AG224" s="295"/>
      <c r="AH224" s="295"/>
      <c r="AI224" s="295"/>
      <c r="AJ224" s="295"/>
      <c r="AK224" s="295"/>
      <c r="AL224" s="295"/>
      <c r="AM224" s="295"/>
      <c r="AN224" s="295"/>
      <c r="AO224" s="295"/>
      <c r="AP224" s="295"/>
      <c r="AQ224" s="295"/>
      <c r="AR224" s="295"/>
      <c r="AS224" s="295"/>
      <c r="AT224" s="295"/>
      <c r="AU224" s="295"/>
      <c r="AV224" s="295"/>
      <c r="AW224" s="295"/>
      <c r="AX224" s="295"/>
      <c r="AY224" s="295"/>
      <c r="BA224" s="295"/>
      <c r="BB224" s="295"/>
      <c r="BC224" s="295"/>
      <c r="BD224" s="295"/>
      <c r="BE224" s="295"/>
      <c r="BF224" s="295"/>
      <c r="BG224" s="295"/>
      <c r="BH224" s="295"/>
      <c r="BI224" s="295"/>
      <c r="BJ224" s="295"/>
      <c r="BK224" s="295"/>
      <c r="BL224" s="295"/>
      <c r="BM224" s="295"/>
      <c r="BN224" s="295"/>
      <c r="BO224" s="295"/>
      <c r="BP224" s="295"/>
      <c r="BQ224" s="295"/>
      <c r="BS224" s="295"/>
      <c r="BT224" s="295"/>
      <c r="BU224" s="295"/>
      <c r="BV224" s="295"/>
      <c r="BW224" s="295"/>
      <c r="BX224" s="295"/>
      <c r="BY224" s="295"/>
      <c r="BZ224" s="295"/>
      <c r="CA224" s="295"/>
      <c r="CB224" s="295"/>
      <c r="CC224" s="295"/>
      <c r="CD224" s="295"/>
      <c r="CE224" s="295"/>
      <c r="CF224" s="295"/>
      <c r="CG224" s="295"/>
      <c r="CH224" s="295"/>
      <c r="CI224" s="295"/>
      <c r="CJ224" s="295"/>
      <c r="CK224" s="295"/>
      <c r="CL224" s="295"/>
      <c r="CM224" s="295"/>
      <c r="CN224" s="295"/>
      <c r="CO224" s="295"/>
    </row>
    <row r="225" spans="2:94" ht="31.5" customHeight="1" x14ac:dyDescent="0.35">
      <c r="E225" s="498"/>
      <c r="F225" s="498"/>
      <c r="G225" s="498"/>
      <c r="H225" s="295"/>
      <c r="I225" s="296"/>
      <c r="J225" s="296"/>
      <c r="K225" s="296"/>
      <c r="L225" s="296"/>
      <c r="M225" s="296"/>
      <c r="N225" s="296"/>
      <c r="O225" s="295"/>
      <c r="P225" s="296"/>
      <c r="Q225" s="296"/>
      <c r="R225" s="296"/>
      <c r="S225" s="296"/>
      <c r="T225" s="296"/>
      <c r="U225" s="296"/>
      <c r="V225" s="296"/>
      <c r="W225" s="296"/>
      <c r="X225" s="295"/>
      <c r="Y225" s="296"/>
      <c r="Z225" s="296"/>
      <c r="AA225" s="296"/>
      <c r="AB225" s="296"/>
      <c r="AC225" s="296"/>
      <c r="AD225" s="296"/>
      <c r="AE225" s="296"/>
      <c r="AF225" s="296"/>
      <c r="AG225" s="295"/>
      <c r="AH225" s="295"/>
      <c r="AI225" s="295"/>
      <c r="AJ225" s="295"/>
      <c r="AK225" s="295"/>
      <c r="AL225" s="295"/>
      <c r="AM225" s="295"/>
      <c r="AN225" s="295"/>
      <c r="AO225" s="295"/>
      <c r="AP225" s="295"/>
      <c r="AQ225" s="295"/>
      <c r="AR225" s="295"/>
      <c r="AS225" s="295"/>
      <c r="AT225" s="295"/>
      <c r="AU225" s="295"/>
      <c r="AV225" s="295"/>
      <c r="AW225" s="295"/>
      <c r="AX225" s="295"/>
      <c r="AY225" s="295"/>
      <c r="BA225" s="295"/>
      <c r="BB225" s="295"/>
      <c r="BC225" s="295"/>
      <c r="BD225" s="295"/>
      <c r="BE225" s="295"/>
      <c r="BF225" s="295"/>
      <c r="BG225" s="295"/>
      <c r="BH225" s="295"/>
      <c r="BI225" s="295"/>
      <c r="BJ225" s="295"/>
      <c r="BK225" s="295"/>
      <c r="BL225" s="295"/>
      <c r="BM225" s="295"/>
      <c r="BN225" s="295"/>
      <c r="BO225" s="295"/>
      <c r="BP225" s="295"/>
      <c r="BQ225" s="295"/>
      <c r="BS225" s="295"/>
      <c r="BT225" s="295"/>
      <c r="BU225" s="295"/>
      <c r="BV225" s="295"/>
      <c r="BW225" s="295"/>
      <c r="BX225" s="295"/>
      <c r="BY225" s="295"/>
      <c r="BZ225" s="295"/>
      <c r="CA225" s="295"/>
      <c r="CB225" s="295"/>
      <c r="CC225" s="295"/>
      <c r="CD225" s="295"/>
      <c r="CE225" s="295"/>
      <c r="CF225" s="295"/>
      <c r="CG225" s="295"/>
      <c r="CH225" s="295"/>
      <c r="CI225" s="295"/>
      <c r="CJ225" s="295"/>
      <c r="CK225" s="295"/>
      <c r="CL225" s="295"/>
      <c r="CM225" s="295"/>
      <c r="CN225" s="295"/>
      <c r="CO225" s="295"/>
    </row>
    <row r="226" spans="2:94" ht="12" customHeight="1" x14ac:dyDescent="0.35">
      <c r="C226" s="316"/>
      <c r="D226" s="316"/>
      <c r="E226" s="316"/>
      <c r="F226" s="316"/>
      <c r="G226" s="316"/>
      <c r="H226" s="295"/>
      <c r="I226" s="296"/>
      <c r="J226" s="296"/>
      <c r="K226" s="296"/>
      <c r="L226" s="296"/>
      <c r="M226" s="296"/>
      <c r="N226" s="296"/>
      <c r="O226" s="295"/>
      <c r="P226" s="296"/>
      <c r="Q226" s="296"/>
      <c r="R226" s="296"/>
      <c r="S226" s="296"/>
      <c r="T226" s="296"/>
      <c r="U226" s="296"/>
      <c r="V226" s="296"/>
      <c r="W226" s="296"/>
      <c r="X226" s="295"/>
      <c r="Y226" s="296"/>
      <c r="Z226" s="296"/>
      <c r="AA226" s="296"/>
      <c r="AB226" s="296"/>
      <c r="AC226" s="296"/>
      <c r="AD226" s="296"/>
      <c r="AE226" s="296"/>
      <c r="AF226" s="296"/>
      <c r="AG226" s="295"/>
      <c r="AH226" s="295"/>
      <c r="AI226" s="295"/>
      <c r="AJ226" s="295"/>
      <c r="AK226" s="295"/>
      <c r="AL226" s="295"/>
      <c r="AM226" s="295"/>
      <c r="AN226" s="295"/>
      <c r="AO226" s="295"/>
      <c r="AP226" s="295"/>
      <c r="AQ226" s="295"/>
      <c r="AR226" s="295"/>
      <c r="AS226" s="295"/>
      <c r="AT226" s="295"/>
      <c r="AU226" s="295"/>
      <c r="AV226" s="295"/>
      <c r="AW226" s="295"/>
      <c r="AX226" s="295"/>
      <c r="AY226" s="295"/>
      <c r="BA226" s="295"/>
      <c r="BB226" s="295"/>
      <c r="BC226" s="295"/>
      <c r="BD226" s="295"/>
      <c r="BE226" s="295"/>
      <c r="BF226" s="295"/>
      <c r="BG226" s="295"/>
      <c r="BH226" s="295"/>
      <c r="BI226" s="295"/>
      <c r="BJ226" s="295"/>
      <c r="BK226" s="295"/>
      <c r="BL226" s="295"/>
      <c r="BM226" s="295"/>
      <c r="BN226" s="295"/>
      <c r="BO226" s="295"/>
      <c r="BP226" s="295"/>
      <c r="BQ226" s="295"/>
      <c r="BS226" s="295"/>
      <c r="BT226" s="295"/>
      <c r="BU226" s="295"/>
      <c r="BV226" s="295"/>
      <c r="BW226" s="295"/>
      <c r="BX226" s="295"/>
      <c r="BY226" s="295"/>
      <c r="BZ226" s="295"/>
      <c r="CA226" s="295"/>
      <c r="CB226" s="295"/>
      <c r="CC226" s="295"/>
      <c r="CD226" s="295"/>
      <c r="CE226" s="295"/>
      <c r="CF226" s="295"/>
      <c r="CG226" s="295"/>
      <c r="CH226" s="295"/>
      <c r="CI226" s="295"/>
      <c r="CJ226" s="295"/>
      <c r="CK226" s="295"/>
      <c r="CL226" s="295"/>
      <c r="CM226" s="295"/>
      <c r="CN226" s="295"/>
      <c r="CO226" s="295"/>
    </row>
    <row r="227" spans="2:94" ht="31.5" customHeight="1" x14ac:dyDescent="0.35">
      <c r="C227" s="354" t="str">
        <f>IF(G208="No","Provide an explanation why the RAM was not completed in the "&amp;D4&amp;" calendar year in the box below:",IF(AND(G210="Yes",G208="Yes"),"                    The RAM section is complete. Scroll down to complete the General Information questions.",""))</f>
        <v>Provide an explanation why the RAM was not completed in the 2023 calendar year in the box below:</v>
      </c>
      <c r="D227" s="354"/>
      <c r="E227" s="354"/>
      <c r="F227" s="354"/>
      <c r="G227" s="354"/>
      <c r="H227" s="354"/>
      <c r="I227" s="354"/>
      <c r="J227" s="354"/>
      <c r="K227" s="354"/>
      <c r="L227" s="296"/>
      <c r="M227" s="296"/>
      <c r="N227" s="296"/>
      <c r="O227" s="295"/>
      <c r="P227" s="296"/>
      <c r="Q227" s="296"/>
      <c r="R227" s="296"/>
      <c r="S227" s="296"/>
      <c r="T227" s="296"/>
      <c r="U227" s="296"/>
      <c r="V227" s="296"/>
      <c r="W227" s="296"/>
      <c r="X227" s="295"/>
      <c r="Y227" s="296"/>
      <c r="Z227" s="296"/>
      <c r="AA227" s="296"/>
      <c r="AB227" s="296"/>
      <c r="AC227" s="296"/>
      <c r="AD227" s="296"/>
      <c r="AE227" s="296"/>
      <c r="AF227" s="296"/>
      <c r="AG227" s="295"/>
      <c r="AH227" s="295"/>
      <c r="AI227" s="295"/>
      <c r="AJ227" s="295"/>
      <c r="AK227" s="295"/>
      <c r="AL227" s="295"/>
      <c r="AM227" s="295"/>
      <c r="AN227" s="295"/>
      <c r="AO227" s="295"/>
      <c r="AP227" s="295"/>
      <c r="AQ227" s="295"/>
      <c r="AR227" s="295"/>
      <c r="AS227" s="295"/>
      <c r="AT227" s="295"/>
      <c r="AU227" s="295"/>
      <c r="AV227" s="295"/>
      <c r="AW227" s="295"/>
      <c r="AX227" s="295"/>
      <c r="AY227" s="295"/>
      <c r="BA227" s="295"/>
      <c r="BB227" s="295"/>
      <c r="BC227" s="295"/>
      <c r="BD227" s="295"/>
      <c r="BE227" s="295"/>
      <c r="BF227" s="295"/>
      <c r="BG227" s="295"/>
      <c r="BH227" s="295"/>
      <c r="BI227" s="295"/>
      <c r="BJ227" s="295"/>
      <c r="BK227" s="295"/>
      <c r="BL227" s="295"/>
      <c r="BM227" s="295"/>
      <c r="BN227" s="295"/>
      <c r="BO227" s="295"/>
      <c r="BP227" s="295"/>
      <c r="BQ227" s="295"/>
      <c r="BS227" s="295"/>
      <c r="BT227" s="295"/>
      <c r="BU227" s="295"/>
      <c r="BV227" s="295"/>
      <c r="BW227" s="295"/>
      <c r="BX227" s="295"/>
      <c r="BY227" s="295"/>
      <c r="BZ227" s="295"/>
      <c r="CA227" s="295"/>
      <c r="CB227" s="295"/>
      <c r="CC227" s="295"/>
      <c r="CD227" s="295"/>
      <c r="CE227" s="295"/>
      <c r="CF227" s="295"/>
      <c r="CG227" s="295"/>
      <c r="CH227" s="295"/>
      <c r="CI227" s="295"/>
      <c r="CJ227" s="295"/>
      <c r="CK227" s="295"/>
      <c r="CL227" s="295"/>
      <c r="CM227" s="295"/>
      <c r="CN227" s="295"/>
      <c r="CO227" s="295"/>
    </row>
    <row r="228" spans="2:94" ht="21" customHeight="1" x14ac:dyDescent="0.35">
      <c r="C228" s="355"/>
      <c r="D228" s="355"/>
      <c r="E228" s="355"/>
      <c r="F228" s="355"/>
      <c r="G228" s="355"/>
      <c r="H228" s="355"/>
      <c r="I228" s="355"/>
      <c r="J228" s="355"/>
      <c r="K228" s="355"/>
      <c r="L228" s="355"/>
      <c r="M228" s="355"/>
      <c r="N228" s="355"/>
      <c r="O228" s="197" t="str">
        <f>IF(P228=1, "&lt;===", "")</f>
        <v/>
      </c>
      <c r="P228" s="303" t="str">
        <f>IF(AND(G208="No",C228="",D411&lt;&gt;""), 1, "")</f>
        <v/>
      </c>
      <c r="Q228" s="296"/>
      <c r="R228" s="296"/>
      <c r="S228" s="296"/>
      <c r="T228" s="296"/>
      <c r="U228" s="296"/>
      <c r="V228" s="296"/>
      <c r="W228" s="296"/>
      <c r="X228" s="295"/>
      <c r="Y228" s="296"/>
      <c r="Z228" s="296"/>
      <c r="AA228" s="296"/>
      <c r="AB228" s="296"/>
      <c r="AC228" s="296"/>
      <c r="AD228" s="296"/>
      <c r="AE228" s="296"/>
      <c r="AF228" s="296"/>
      <c r="AG228" s="295"/>
      <c r="AH228" s="295"/>
      <c r="AI228" s="295"/>
      <c r="AJ228" s="295"/>
      <c r="AK228" s="295"/>
      <c r="AL228" s="295"/>
      <c r="AM228" s="295"/>
      <c r="AN228" s="295"/>
      <c r="AO228" s="295"/>
      <c r="AP228" s="295"/>
      <c r="AQ228" s="295"/>
      <c r="AR228" s="295"/>
      <c r="AS228" s="295"/>
      <c r="AT228" s="295"/>
      <c r="AU228" s="295"/>
      <c r="AV228" s="295"/>
      <c r="AW228" s="295"/>
      <c r="AX228" s="295"/>
      <c r="AY228" s="295"/>
      <c r="BA228" s="295"/>
      <c r="BB228" s="295"/>
      <c r="BC228" s="295"/>
      <c r="BD228" s="295"/>
      <c r="BE228" s="295"/>
      <c r="BF228" s="295"/>
      <c r="BG228" s="295"/>
      <c r="BH228" s="295"/>
      <c r="BI228" s="295"/>
      <c r="BJ228" s="295"/>
      <c r="BK228" s="295"/>
      <c r="BL228" s="295"/>
      <c r="BM228" s="295"/>
      <c r="BN228" s="295"/>
      <c r="BO228" s="295"/>
      <c r="BP228" s="295"/>
      <c r="BQ228" s="295"/>
      <c r="BS228" s="295"/>
      <c r="BT228" s="295"/>
      <c r="BU228" s="295"/>
      <c r="BV228" s="295"/>
      <c r="BW228" s="295"/>
      <c r="BX228" s="295"/>
      <c r="BY228" s="295"/>
      <c r="BZ228" s="295"/>
      <c r="CA228" s="295"/>
      <c r="CB228" s="295"/>
      <c r="CC228" s="295"/>
      <c r="CD228" s="295"/>
      <c r="CE228" s="295"/>
      <c r="CF228" s="295"/>
      <c r="CG228" s="295"/>
      <c r="CH228" s="295"/>
      <c r="CI228" s="295"/>
      <c r="CJ228" s="295"/>
      <c r="CK228" s="295"/>
      <c r="CL228" s="295"/>
      <c r="CM228" s="295"/>
      <c r="CN228" s="295"/>
      <c r="CO228" s="295"/>
    </row>
    <row r="229" spans="2:94" ht="31.5" customHeight="1" x14ac:dyDescent="0.35">
      <c r="C229" s="355"/>
      <c r="D229" s="355"/>
      <c r="E229" s="355"/>
      <c r="F229" s="355"/>
      <c r="G229" s="355"/>
      <c r="H229" s="355"/>
      <c r="I229" s="355"/>
      <c r="J229" s="355"/>
      <c r="K229" s="355"/>
      <c r="L229" s="355"/>
      <c r="M229" s="355"/>
      <c r="N229" s="355"/>
      <c r="O229" s="295"/>
      <c r="P229" s="296"/>
      <c r="Q229" s="296"/>
      <c r="R229" s="296"/>
      <c r="S229" s="296"/>
      <c r="T229" s="296"/>
      <c r="U229" s="296"/>
      <c r="V229" s="296"/>
      <c r="W229" s="296"/>
      <c r="X229" s="295"/>
      <c r="Y229" s="296"/>
      <c r="Z229" s="296"/>
      <c r="AA229" s="296"/>
      <c r="AB229" s="296"/>
      <c r="AC229" s="296"/>
      <c r="AD229" s="296"/>
      <c r="AE229" s="296"/>
      <c r="AF229" s="296"/>
      <c r="AG229" s="295"/>
      <c r="AH229" s="295"/>
      <c r="AI229" s="295"/>
      <c r="AJ229" s="295"/>
      <c r="AK229" s="295"/>
      <c r="AL229" s="295"/>
      <c r="AM229" s="295"/>
      <c r="AN229" s="295"/>
      <c r="AO229" s="295"/>
      <c r="AP229" s="295"/>
      <c r="AQ229" s="295"/>
      <c r="AR229" s="295"/>
      <c r="AS229" s="295"/>
      <c r="AT229" s="295"/>
      <c r="AU229" s="295"/>
      <c r="AV229" s="295"/>
      <c r="AW229" s="295"/>
      <c r="AX229" s="295"/>
      <c r="AY229" s="295"/>
      <c r="BA229" s="295"/>
      <c r="BB229" s="295"/>
      <c r="BC229" s="295"/>
      <c r="BD229" s="295"/>
      <c r="BE229" s="295"/>
      <c r="BF229" s="295"/>
      <c r="BG229" s="295"/>
      <c r="BH229" s="295"/>
      <c r="BI229" s="295"/>
      <c r="BJ229" s="295"/>
      <c r="BK229" s="295"/>
      <c r="BL229" s="295"/>
      <c r="BM229" s="295"/>
      <c r="BN229" s="295"/>
      <c r="BO229" s="295"/>
      <c r="BP229" s="295"/>
      <c r="BQ229" s="295"/>
      <c r="BS229" s="295"/>
      <c r="BT229" s="295"/>
      <c r="BU229" s="295"/>
      <c r="BV229" s="295"/>
      <c r="BW229" s="295"/>
      <c r="BX229" s="295"/>
      <c r="BY229" s="295"/>
      <c r="BZ229" s="295"/>
      <c r="CA229" s="295"/>
      <c r="CB229" s="295"/>
      <c r="CC229" s="295"/>
      <c r="CD229" s="295"/>
      <c r="CE229" s="295"/>
      <c r="CF229" s="295"/>
      <c r="CG229" s="295"/>
      <c r="CH229" s="295"/>
      <c r="CI229" s="295"/>
      <c r="CJ229" s="295"/>
      <c r="CK229" s="295"/>
      <c r="CL229" s="295"/>
      <c r="CM229" s="295"/>
      <c r="CN229" s="295"/>
      <c r="CO229" s="295"/>
    </row>
    <row r="230" spans="2:94" ht="12" customHeight="1" x14ac:dyDescent="0.35">
      <c r="C230" s="355"/>
      <c r="D230" s="355"/>
      <c r="E230" s="355"/>
      <c r="F230" s="355"/>
      <c r="G230" s="355"/>
      <c r="H230" s="355"/>
      <c r="I230" s="355"/>
      <c r="J230" s="355"/>
      <c r="K230" s="355"/>
      <c r="L230" s="355"/>
      <c r="M230" s="355"/>
      <c r="N230" s="355"/>
      <c r="O230" s="295"/>
      <c r="P230" s="296"/>
      <c r="Q230" s="296"/>
      <c r="R230" s="296"/>
      <c r="S230" s="296"/>
      <c r="T230" s="296"/>
      <c r="U230" s="296"/>
      <c r="V230" s="296"/>
      <c r="W230" s="296"/>
      <c r="X230" s="295"/>
      <c r="Y230" s="296"/>
      <c r="Z230" s="296"/>
      <c r="AA230" s="296"/>
      <c r="AB230" s="296"/>
      <c r="AC230" s="296"/>
      <c r="AD230" s="296"/>
      <c r="AE230" s="296"/>
      <c r="AF230" s="296"/>
      <c r="AG230" s="295"/>
      <c r="AH230" s="295"/>
      <c r="AI230" s="295"/>
      <c r="AJ230" s="295"/>
      <c r="AK230" s="295"/>
      <c r="AL230" s="295"/>
      <c r="AM230" s="295"/>
      <c r="AN230" s="295"/>
      <c r="AO230" s="295"/>
      <c r="AP230" s="295"/>
      <c r="AQ230" s="295"/>
      <c r="AR230" s="295"/>
      <c r="AS230" s="295"/>
      <c r="AT230" s="295"/>
      <c r="AU230" s="295"/>
      <c r="AV230" s="295"/>
      <c r="AW230" s="295"/>
      <c r="AX230" s="295"/>
      <c r="AY230" s="295"/>
      <c r="BA230" s="295"/>
      <c r="BB230" s="295"/>
      <c r="BC230" s="295"/>
      <c r="BD230" s="295"/>
      <c r="BE230" s="295"/>
      <c r="BF230" s="295"/>
      <c r="BG230" s="295"/>
      <c r="BH230" s="295"/>
      <c r="BI230" s="295"/>
      <c r="BJ230" s="295"/>
      <c r="BK230" s="295"/>
      <c r="BL230" s="295"/>
      <c r="BM230" s="295"/>
      <c r="BN230" s="295"/>
      <c r="BO230" s="295"/>
      <c r="BP230" s="295"/>
      <c r="BQ230" s="295"/>
      <c r="BS230" s="295"/>
      <c r="BT230" s="295"/>
      <c r="BU230" s="295"/>
      <c r="BV230" s="295"/>
      <c r="BW230" s="295"/>
      <c r="BX230" s="295"/>
      <c r="BY230" s="295"/>
      <c r="BZ230" s="295"/>
      <c r="CA230" s="295"/>
      <c r="CB230" s="295"/>
      <c r="CC230" s="295"/>
      <c r="CD230" s="295"/>
      <c r="CE230" s="295"/>
      <c r="CF230" s="295"/>
      <c r="CG230" s="295"/>
      <c r="CH230" s="295"/>
      <c r="CI230" s="295"/>
      <c r="CJ230" s="295"/>
      <c r="CK230" s="295"/>
      <c r="CL230" s="295"/>
      <c r="CM230" s="295"/>
      <c r="CN230" s="295"/>
      <c r="CO230" s="295"/>
    </row>
    <row r="231" spans="2:94" ht="31.5" customHeight="1" x14ac:dyDescent="0.35">
      <c r="C231" s="355"/>
      <c r="D231" s="355"/>
      <c r="E231" s="355"/>
      <c r="F231" s="355"/>
      <c r="G231" s="355"/>
      <c r="H231" s="355"/>
      <c r="I231" s="355"/>
      <c r="J231" s="355"/>
      <c r="K231" s="355"/>
      <c r="L231" s="355"/>
      <c r="M231" s="355"/>
      <c r="N231" s="355"/>
      <c r="O231" s="295"/>
      <c r="P231" s="296"/>
      <c r="Q231" s="296"/>
      <c r="R231" s="296"/>
      <c r="S231" s="296"/>
      <c r="T231" s="296"/>
      <c r="U231" s="296"/>
      <c r="V231" s="296"/>
      <c r="W231" s="296"/>
      <c r="X231" s="295"/>
      <c r="Y231" s="296"/>
      <c r="Z231" s="296"/>
      <c r="AA231" s="296"/>
      <c r="AB231" s="296"/>
      <c r="AC231" s="296"/>
      <c r="AD231" s="296"/>
      <c r="AE231" s="296"/>
      <c r="AF231" s="296"/>
      <c r="AG231" s="295"/>
      <c r="AH231" s="295"/>
      <c r="AI231" s="295"/>
      <c r="AJ231" s="295"/>
      <c r="AK231" s="295"/>
      <c r="AL231" s="295"/>
      <c r="AM231" s="295"/>
      <c r="AN231" s="295"/>
      <c r="AO231" s="295"/>
      <c r="AP231" s="295"/>
      <c r="AQ231" s="295"/>
      <c r="AR231" s="295"/>
      <c r="AS231" s="295"/>
      <c r="AT231" s="295"/>
      <c r="AU231" s="295"/>
      <c r="AV231" s="295"/>
      <c r="AW231" s="295"/>
      <c r="AX231" s="295"/>
      <c r="AY231" s="295"/>
      <c r="BA231" s="295"/>
      <c r="BB231" s="295"/>
      <c r="BC231" s="295"/>
      <c r="BD231" s="295"/>
      <c r="BE231" s="295"/>
      <c r="BF231" s="295"/>
      <c r="BG231" s="295"/>
      <c r="BH231" s="295"/>
      <c r="BI231" s="295"/>
      <c r="BJ231" s="295"/>
      <c r="BK231" s="295"/>
      <c r="BL231" s="295"/>
      <c r="BM231" s="295"/>
      <c r="BN231" s="295"/>
      <c r="BO231" s="295"/>
      <c r="BP231" s="295"/>
      <c r="BQ231" s="295"/>
      <c r="BS231" s="295"/>
      <c r="BT231" s="295"/>
      <c r="BU231" s="295"/>
      <c r="BV231" s="295"/>
      <c r="BW231" s="295"/>
      <c r="BX231" s="295"/>
      <c r="BY231" s="295"/>
      <c r="BZ231" s="295"/>
      <c r="CA231" s="295"/>
      <c r="CB231" s="295"/>
      <c r="CC231" s="295"/>
      <c r="CD231" s="295"/>
      <c r="CE231" s="295"/>
      <c r="CF231" s="295"/>
      <c r="CG231" s="295"/>
      <c r="CH231" s="295"/>
      <c r="CI231" s="295"/>
      <c r="CJ231" s="295"/>
      <c r="CK231" s="295"/>
      <c r="CL231" s="295"/>
      <c r="CM231" s="295"/>
      <c r="CN231" s="295"/>
      <c r="CO231" s="295"/>
    </row>
    <row r="232" spans="2:94" ht="12" customHeight="1" x14ac:dyDescent="0.35">
      <c r="C232" s="355"/>
      <c r="D232" s="355"/>
      <c r="E232" s="355"/>
      <c r="F232" s="355"/>
      <c r="G232" s="355"/>
      <c r="H232" s="355"/>
      <c r="I232" s="355"/>
      <c r="J232" s="355"/>
      <c r="K232" s="355"/>
      <c r="L232" s="355"/>
      <c r="M232" s="355"/>
      <c r="N232" s="355"/>
      <c r="O232" s="295"/>
      <c r="P232" s="296"/>
      <c r="Q232" s="296"/>
      <c r="R232" s="296"/>
      <c r="S232" s="296"/>
      <c r="T232" s="296"/>
      <c r="U232" s="296"/>
      <c r="V232" s="296"/>
      <c r="W232" s="296"/>
      <c r="X232" s="295"/>
      <c r="Y232" s="296"/>
      <c r="Z232" s="296"/>
      <c r="AA232" s="296"/>
      <c r="AB232" s="296"/>
      <c r="AC232" s="296"/>
      <c r="AD232" s="296"/>
      <c r="AE232" s="296"/>
      <c r="AF232" s="296"/>
      <c r="AG232" s="295"/>
      <c r="AH232" s="295"/>
      <c r="AI232" s="295"/>
      <c r="AJ232" s="295"/>
      <c r="AK232" s="295"/>
      <c r="AL232" s="295"/>
      <c r="AM232" s="295"/>
      <c r="AN232" s="295"/>
      <c r="AO232" s="295"/>
      <c r="AP232" s="295"/>
      <c r="AQ232" s="295"/>
      <c r="AR232" s="295"/>
      <c r="AS232" s="295"/>
      <c r="AT232" s="295"/>
      <c r="AU232" s="295"/>
      <c r="AV232" s="295"/>
      <c r="AW232" s="295"/>
      <c r="AX232" s="295"/>
      <c r="AY232" s="295"/>
      <c r="BA232" s="295"/>
      <c r="BB232" s="295"/>
      <c r="BC232" s="295"/>
      <c r="BD232" s="295"/>
      <c r="BE232" s="295"/>
      <c r="BF232" s="295"/>
      <c r="BG232" s="295"/>
      <c r="BH232" s="295"/>
      <c r="BI232" s="295"/>
      <c r="BJ232" s="295"/>
      <c r="BK232" s="295"/>
      <c r="BL232" s="295"/>
      <c r="BM232" s="295"/>
      <c r="BN232" s="295"/>
      <c r="BO232" s="295"/>
      <c r="BP232" s="295"/>
      <c r="BQ232" s="295"/>
      <c r="BS232" s="295"/>
      <c r="BT232" s="295"/>
      <c r="BU232" s="295"/>
      <c r="BV232" s="295"/>
      <c r="BW232" s="295"/>
      <c r="BX232" s="295"/>
      <c r="BY232" s="295"/>
      <c r="BZ232" s="295"/>
      <c r="CA232" s="295"/>
      <c r="CB232" s="295"/>
      <c r="CC232" s="295"/>
      <c r="CD232" s="295"/>
      <c r="CE232" s="295"/>
      <c r="CF232" s="295"/>
      <c r="CG232" s="295"/>
      <c r="CH232" s="295"/>
      <c r="CI232" s="295"/>
      <c r="CJ232" s="295"/>
      <c r="CK232" s="295"/>
      <c r="CL232" s="295"/>
      <c r="CM232" s="295"/>
      <c r="CN232" s="295"/>
      <c r="CO232" s="295"/>
    </row>
    <row r="233" spans="2:94" ht="31.5" customHeight="1" x14ac:dyDescent="0.35">
      <c r="C233" s="355"/>
      <c r="D233" s="355"/>
      <c r="E233" s="355"/>
      <c r="F233" s="355"/>
      <c r="G233" s="355"/>
      <c r="H233" s="355"/>
      <c r="I233" s="355"/>
      <c r="J233" s="355"/>
      <c r="K233" s="355"/>
      <c r="L233" s="355"/>
      <c r="M233" s="355"/>
      <c r="N233" s="355"/>
      <c r="O233" s="295"/>
      <c r="P233" s="296"/>
      <c r="Q233" s="296"/>
      <c r="R233" s="296"/>
      <c r="S233" s="296"/>
      <c r="T233" s="296"/>
      <c r="U233" s="296"/>
      <c r="V233" s="296"/>
      <c r="W233" s="296"/>
      <c r="X233" s="295"/>
      <c r="Y233" s="296"/>
      <c r="Z233" s="296"/>
      <c r="AA233" s="296"/>
      <c r="AB233" s="296"/>
      <c r="AC233" s="296"/>
      <c r="AD233" s="296"/>
      <c r="AE233" s="296"/>
      <c r="AF233" s="296"/>
      <c r="AG233" s="295"/>
      <c r="AH233" s="295"/>
      <c r="AI233" s="295"/>
      <c r="AJ233" s="295"/>
      <c r="AK233" s="295"/>
      <c r="AL233" s="295"/>
      <c r="AM233" s="295"/>
      <c r="AN233" s="295"/>
      <c r="AO233" s="295"/>
      <c r="AP233" s="295"/>
      <c r="AQ233" s="295"/>
      <c r="AR233" s="295"/>
      <c r="AS233" s="295"/>
      <c r="AT233" s="295"/>
      <c r="AU233" s="295"/>
      <c r="AV233" s="295"/>
      <c r="AW233" s="295"/>
      <c r="AX233" s="295"/>
      <c r="AY233" s="295"/>
      <c r="BA233" s="295"/>
      <c r="BB233" s="295"/>
      <c r="BC233" s="295"/>
      <c r="BD233" s="295"/>
      <c r="BE233" s="295"/>
      <c r="BF233" s="295"/>
      <c r="BG233" s="295"/>
      <c r="BH233" s="295"/>
      <c r="BI233" s="295"/>
      <c r="BJ233" s="295"/>
      <c r="BK233" s="295"/>
      <c r="BL233" s="295"/>
      <c r="BM233" s="295"/>
      <c r="BN233" s="295"/>
      <c r="BO233" s="295"/>
      <c r="BP233" s="295"/>
      <c r="BQ233" s="295"/>
      <c r="BS233" s="295"/>
      <c r="BT233" s="295"/>
      <c r="BU233" s="295"/>
      <c r="BV233" s="295"/>
      <c r="BW233" s="295"/>
      <c r="BX233" s="295"/>
      <c r="BY233" s="295"/>
      <c r="BZ233" s="295"/>
      <c r="CA233" s="295"/>
      <c r="CB233" s="295"/>
      <c r="CC233" s="295"/>
      <c r="CD233" s="295"/>
      <c r="CE233" s="295"/>
      <c r="CF233" s="295"/>
      <c r="CG233" s="295"/>
      <c r="CH233" s="295"/>
      <c r="CI233" s="295"/>
      <c r="CJ233" s="295"/>
      <c r="CK233" s="295"/>
      <c r="CL233" s="295"/>
      <c r="CM233" s="295"/>
      <c r="CN233" s="295"/>
      <c r="CO233" s="295"/>
    </row>
    <row r="234" spans="2:94" ht="12" customHeight="1" x14ac:dyDescent="0.35">
      <c r="C234" s="355"/>
      <c r="D234" s="355"/>
      <c r="E234" s="355"/>
      <c r="F234" s="355"/>
      <c r="G234" s="355"/>
      <c r="H234" s="355"/>
      <c r="I234" s="355"/>
      <c r="J234" s="355"/>
      <c r="K234" s="355"/>
      <c r="L234" s="355"/>
      <c r="M234" s="355"/>
      <c r="N234" s="355"/>
      <c r="O234" s="295"/>
      <c r="P234" s="296"/>
      <c r="Q234" s="296"/>
      <c r="R234" s="296"/>
      <c r="S234" s="296"/>
      <c r="T234" s="296"/>
      <c r="U234" s="296"/>
      <c r="V234" s="296"/>
      <c r="W234" s="296"/>
      <c r="X234" s="295"/>
      <c r="Y234" s="296"/>
      <c r="Z234" s="296"/>
      <c r="AA234" s="296"/>
      <c r="AB234" s="296"/>
      <c r="AC234" s="296"/>
      <c r="AD234" s="296"/>
      <c r="AE234" s="296"/>
      <c r="AF234" s="296"/>
      <c r="AG234" s="295"/>
      <c r="AH234" s="295"/>
      <c r="AI234" s="295"/>
      <c r="AJ234" s="295"/>
      <c r="AK234" s="295"/>
      <c r="AL234" s="295"/>
      <c r="AM234" s="295"/>
      <c r="AN234" s="295"/>
      <c r="AO234" s="295"/>
      <c r="AP234" s="295"/>
      <c r="AQ234" s="295"/>
      <c r="AR234" s="295"/>
      <c r="AS234" s="295"/>
      <c r="AT234" s="295"/>
      <c r="AU234" s="295"/>
      <c r="AV234" s="295"/>
      <c r="AW234" s="295"/>
      <c r="AX234" s="295"/>
      <c r="AY234" s="295"/>
      <c r="BA234" s="295"/>
      <c r="BB234" s="295"/>
      <c r="BC234" s="295"/>
      <c r="BD234" s="295"/>
      <c r="BE234" s="295"/>
      <c r="BF234" s="295"/>
      <c r="BG234" s="295"/>
      <c r="BH234" s="295"/>
      <c r="BI234" s="295"/>
      <c r="BJ234" s="295"/>
      <c r="BK234" s="295"/>
      <c r="BL234" s="295"/>
      <c r="BM234" s="295"/>
      <c r="BN234" s="295"/>
      <c r="BO234" s="295"/>
      <c r="BP234" s="295"/>
      <c r="BQ234" s="295"/>
      <c r="BS234" s="295"/>
      <c r="BT234" s="295"/>
      <c r="BU234" s="295"/>
      <c r="BV234" s="295"/>
      <c r="BW234" s="295"/>
      <c r="BX234" s="295"/>
      <c r="BY234" s="295"/>
      <c r="BZ234" s="295"/>
      <c r="CA234" s="295"/>
      <c r="CB234" s="295"/>
      <c r="CC234" s="295"/>
      <c r="CD234" s="295"/>
      <c r="CE234" s="295"/>
      <c r="CF234" s="295"/>
      <c r="CG234" s="295"/>
      <c r="CH234" s="295"/>
      <c r="CI234" s="295"/>
      <c r="CJ234" s="295"/>
      <c r="CK234" s="295"/>
      <c r="CL234" s="295"/>
      <c r="CM234" s="295"/>
      <c r="CN234" s="295"/>
      <c r="CO234" s="295"/>
    </row>
    <row r="235" spans="2:94" ht="12" customHeight="1" x14ac:dyDescent="0.35">
      <c r="C235" s="355"/>
      <c r="D235" s="355"/>
      <c r="E235" s="355"/>
      <c r="F235" s="355"/>
      <c r="G235" s="355"/>
      <c r="H235" s="355"/>
      <c r="I235" s="355"/>
      <c r="J235" s="355"/>
      <c r="K235" s="355"/>
      <c r="L235" s="355"/>
      <c r="M235" s="355"/>
      <c r="N235" s="355"/>
      <c r="O235" s="295"/>
      <c r="P235" s="296"/>
      <c r="Q235" s="296"/>
      <c r="R235" s="296"/>
      <c r="S235" s="296"/>
      <c r="T235" s="296"/>
      <c r="U235" s="296"/>
      <c r="V235" s="296"/>
      <c r="W235" s="296"/>
      <c r="X235" s="295"/>
      <c r="Y235" s="296"/>
      <c r="Z235" s="296"/>
      <c r="AA235" s="296"/>
      <c r="AB235" s="296"/>
      <c r="AC235" s="296"/>
      <c r="AD235" s="296"/>
      <c r="AE235" s="296"/>
      <c r="AF235" s="296"/>
      <c r="AG235" s="295"/>
      <c r="AH235" s="295"/>
      <c r="AI235" s="295"/>
      <c r="AJ235" s="295"/>
      <c r="AK235" s="295"/>
      <c r="AL235" s="295"/>
      <c r="AM235" s="295"/>
      <c r="AN235" s="295"/>
      <c r="AO235" s="295"/>
      <c r="AP235" s="295"/>
      <c r="AQ235" s="295"/>
      <c r="AR235" s="295"/>
      <c r="AS235" s="295"/>
      <c r="AT235" s="295"/>
      <c r="AU235" s="295"/>
      <c r="AV235" s="295"/>
      <c r="AW235" s="295"/>
      <c r="AX235" s="295"/>
      <c r="AY235" s="295"/>
      <c r="BA235" s="295"/>
      <c r="BB235" s="295"/>
      <c r="BC235" s="295"/>
      <c r="BD235" s="295"/>
      <c r="BE235" s="295"/>
      <c r="BF235" s="295"/>
      <c r="BG235" s="295"/>
      <c r="BH235" s="295"/>
      <c r="BI235" s="295"/>
      <c r="BJ235" s="295"/>
      <c r="BK235" s="295"/>
      <c r="BL235" s="295"/>
      <c r="BM235" s="295"/>
      <c r="BN235" s="295"/>
      <c r="BO235" s="295"/>
      <c r="BP235" s="295"/>
      <c r="BQ235" s="295"/>
      <c r="BS235" s="295"/>
      <c r="BT235" s="295"/>
      <c r="BU235" s="295"/>
      <c r="BV235" s="295"/>
      <c r="BW235" s="295"/>
      <c r="BX235" s="295"/>
      <c r="BY235" s="295"/>
      <c r="BZ235" s="295"/>
      <c r="CA235" s="295"/>
      <c r="CB235" s="295"/>
      <c r="CC235" s="295"/>
      <c r="CD235" s="295"/>
      <c r="CE235" s="295"/>
      <c r="CF235" s="295"/>
      <c r="CG235" s="295"/>
      <c r="CH235" s="295"/>
      <c r="CI235" s="295"/>
      <c r="CJ235" s="295"/>
      <c r="CK235" s="295"/>
      <c r="CL235" s="295"/>
      <c r="CM235" s="295"/>
      <c r="CN235" s="295"/>
      <c r="CO235" s="295"/>
    </row>
    <row r="236" spans="2:94" ht="12" customHeight="1" x14ac:dyDescent="0.35">
      <c r="C236" s="355"/>
      <c r="D236" s="355"/>
      <c r="E236" s="355"/>
      <c r="F236" s="355"/>
      <c r="G236" s="355"/>
      <c r="H236" s="355"/>
      <c r="I236" s="355"/>
      <c r="J236" s="355"/>
      <c r="K236" s="355"/>
      <c r="L236" s="355"/>
      <c r="M236" s="355"/>
      <c r="N236" s="355"/>
      <c r="O236" s="295"/>
      <c r="P236" s="296"/>
      <c r="Q236" s="296"/>
      <c r="R236" s="296"/>
      <c r="S236" s="296"/>
      <c r="T236" s="296"/>
      <c r="U236" s="296"/>
      <c r="V236" s="296"/>
      <c r="W236" s="296"/>
      <c r="X236" s="295"/>
      <c r="Y236" s="296"/>
      <c r="Z236" s="296"/>
      <c r="AA236" s="296"/>
      <c r="AB236" s="296"/>
      <c r="AC236" s="296"/>
      <c r="AD236" s="296"/>
      <c r="AE236" s="296"/>
      <c r="AF236" s="296"/>
      <c r="AG236" s="295"/>
      <c r="AH236" s="295"/>
      <c r="AI236" s="295"/>
      <c r="AJ236" s="295"/>
      <c r="AK236" s="295"/>
      <c r="AL236" s="295"/>
      <c r="AM236" s="295"/>
      <c r="AN236" s="295"/>
      <c r="AO236" s="295"/>
      <c r="AP236" s="295"/>
      <c r="AQ236" s="295"/>
      <c r="AR236" s="295"/>
      <c r="AS236" s="295"/>
      <c r="AT236" s="295"/>
      <c r="AU236" s="295"/>
      <c r="AV236" s="295"/>
      <c r="AW236" s="295"/>
      <c r="AX236" s="295"/>
      <c r="AY236" s="295"/>
      <c r="BA236" s="295"/>
      <c r="BB236" s="295"/>
      <c r="BC236" s="295"/>
      <c r="BD236" s="295"/>
      <c r="BE236" s="295"/>
      <c r="BF236" s="295"/>
      <c r="BG236" s="295"/>
      <c r="BH236" s="295"/>
      <c r="BI236" s="295"/>
      <c r="BJ236" s="295"/>
      <c r="BK236" s="295"/>
      <c r="BL236" s="295"/>
      <c r="BM236" s="295"/>
      <c r="BN236" s="295"/>
      <c r="BO236" s="295"/>
      <c r="BP236" s="295"/>
      <c r="BQ236" s="295"/>
      <c r="BS236" s="295"/>
      <c r="BT236" s="295"/>
      <c r="BU236" s="295"/>
      <c r="BV236" s="295"/>
      <c r="BW236" s="295"/>
      <c r="BX236" s="295"/>
      <c r="BY236" s="295"/>
      <c r="BZ236" s="295"/>
      <c r="CA236" s="295"/>
      <c r="CB236" s="295"/>
      <c r="CC236" s="295"/>
      <c r="CD236" s="295"/>
      <c r="CE236" s="295"/>
      <c r="CF236" s="295"/>
      <c r="CG236" s="295"/>
      <c r="CH236" s="295"/>
      <c r="CI236" s="295"/>
      <c r="CJ236" s="295"/>
      <c r="CK236" s="295"/>
      <c r="CL236" s="295"/>
      <c r="CM236" s="295"/>
      <c r="CN236" s="295"/>
      <c r="CO236" s="295"/>
    </row>
    <row r="237" spans="2:94" ht="12" customHeight="1" x14ac:dyDescent="0.35">
      <c r="C237" s="355"/>
      <c r="D237" s="355"/>
      <c r="E237" s="355"/>
      <c r="F237" s="355"/>
      <c r="G237" s="355"/>
      <c r="H237" s="355"/>
      <c r="I237" s="355"/>
      <c r="J237" s="355"/>
      <c r="K237" s="355"/>
      <c r="L237" s="355"/>
      <c r="M237" s="355"/>
      <c r="N237" s="355"/>
      <c r="O237" s="295"/>
      <c r="P237" s="296"/>
      <c r="Q237" s="296"/>
      <c r="R237" s="296"/>
      <c r="S237" s="296"/>
      <c r="T237" s="296"/>
      <c r="U237" s="296"/>
      <c r="V237" s="296"/>
      <c r="W237" s="296"/>
      <c r="X237" s="295"/>
      <c r="Y237" s="296"/>
      <c r="Z237" s="296"/>
      <c r="AA237" s="296"/>
      <c r="AB237" s="296"/>
      <c r="AC237" s="296"/>
      <c r="AD237" s="296"/>
      <c r="AE237" s="296"/>
      <c r="AF237" s="296"/>
      <c r="AG237" s="295"/>
      <c r="AH237" s="295"/>
      <c r="AI237" s="295"/>
      <c r="AJ237" s="295"/>
      <c r="AK237" s="295"/>
      <c r="AL237" s="295"/>
      <c r="AM237" s="295"/>
      <c r="AN237" s="295"/>
      <c r="AO237" s="295"/>
      <c r="AP237" s="295"/>
      <c r="AQ237" s="295"/>
      <c r="AR237" s="295"/>
      <c r="AS237" s="295"/>
      <c r="AT237" s="295"/>
      <c r="AU237" s="295"/>
      <c r="AV237" s="295"/>
      <c r="AW237" s="295"/>
      <c r="AX237" s="295"/>
      <c r="AY237" s="295"/>
      <c r="BA237" s="295"/>
      <c r="BB237" s="295"/>
      <c r="BC237" s="295"/>
      <c r="BD237" s="295"/>
      <c r="BE237" s="295"/>
      <c r="BF237" s="295"/>
      <c r="BG237" s="295"/>
      <c r="BH237" s="295"/>
      <c r="BI237" s="295"/>
      <c r="BJ237" s="295"/>
      <c r="BK237" s="295"/>
      <c r="BL237" s="295"/>
      <c r="BM237" s="295"/>
      <c r="BN237" s="295"/>
      <c r="BO237" s="295"/>
      <c r="BP237" s="295"/>
      <c r="BQ237" s="295"/>
      <c r="BS237" s="295"/>
      <c r="BT237" s="295"/>
      <c r="BU237" s="295"/>
      <c r="BV237" s="295"/>
      <c r="BW237" s="295"/>
      <c r="BX237" s="295"/>
      <c r="BY237" s="295"/>
      <c r="BZ237" s="295"/>
      <c r="CA237" s="295"/>
      <c r="CB237" s="295"/>
      <c r="CC237" s="295"/>
      <c r="CD237" s="295"/>
      <c r="CE237" s="295"/>
      <c r="CF237" s="295"/>
      <c r="CG237" s="295"/>
      <c r="CH237" s="295"/>
      <c r="CI237" s="295"/>
      <c r="CJ237" s="295"/>
      <c r="CK237" s="295"/>
      <c r="CL237" s="295"/>
      <c r="CM237" s="295"/>
      <c r="CN237" s="295"/>
      <c r="CO237" s="295"/>
    </row>
    <row r="238" spans="2:94" ht="12" customHeight="1" x14ac:dyDescent="0.35">
      <c r="C238" s="355"/>
      <c r="D238" s="355"/>
      <c r="E238" s="355"/>
      <c r="F238" s="355"/>
      <c r="G238" s="355"/>
      <c r="H238" s="355"/>
      <c r="I238" s="355"/>
      <c r="J238" s="355"/>
      <c r="K238" s="355"/>
      <c r="L238" s="355"/>
      <c r="M238" s="355"/>
      <c r="N238" s="355"/>
      <c r="P238" s="296"/>
      <c r="Q238" s="296"/>
      <c r="R238" s="296"/>
      <c r="S238" s="296"/>
      <c r="T238" s="296"/>
      <c r="U238" s="296"/>
      <c r="V238" s="296"/>
      <c r="W238" s="296"/>
      <c r="Y238" s="296"/>
      <c r="Z238" s="296"/>
      <c r="AA238" s="296"/>
      <c r="AB238" s="296"/>
      <c r="AC238" s="296"/>
      <c r="AD238" s="296"/>
      <c r="AE238" s="296"/>
      <c r="AF238" s="296"/>
      <c r="AI238" s="295"/>
      <c r="AJ238" s="295"/>
      <c r="AK238" s="295"/>
      <c r="AL238" s="295"/>
      <c r="AM238" s="295"/>
      <c r="AN238" s="295"/>
      <c r="AO238" s="295"/>
      <c r="AP238" s="295"/>
      <c r="AR238" s="295"/>
      <c r="AS238" s="295"/>
      <c r="AT238" s="295"/>
      <c r="AU238" s="295"/>
      <c r="AV238" s="295"/>
      <c r="AW238" s="295"/>
      <c r="AX238" s="295"/>
      <c r="AY238" s="295"/>
      <c r="BA238" s="295"/>
      <c r="BB238" s="295"/>
      <c r="BC238" s="295"/>
      <c r="BD238" s="295"/>
      <c r="BE238" s="295"/>
      <c r="BF238" s="295"/>
      <c r="BG238" s="295"/>
      <c r="BH238" s="295"/>
      <c r="BJ238" s="295"/>
      <c r="BK238" s="295"/>
      <c r="BL238" s="295"/>
      <c r="BM238" s="295"/>
      <c r="BN238" s="295"/>
      <c r="BO238" s="295"/>
      <c r="BP238" s="295"/>
      <c r="BQ238" s="295"/>
      <c r="BS238" s="295"/>
      <c r="BT238" s="295"/>
      <c r="BU238" s="295"/>
      <c r="BV238" s="295"/>
      <c r="BW238" s="295"/>
      <c r="BX238" s="295"/>
      <c r="BY238" s="295"/>
      <c r="BZ238" s="295"/>
      <c r="CB238" s="295"/>
      <c r="CC238" s="295"/>
      <c r="CD238" s="295"/>
      <c r="CE238" s="295"/>
      <c r="CF238" s="295"/>
      <c r="CG238" s="295"/>
      <c r="CH238" s="295"/>
      <c r="CI238" s="295"/>
    </row>
    <row r="239" spans="2:94" ht="12" customHeight="1" x14ac:dyDescent="0.35">
      <c r="C239" s="355"/>
      <c r="D239" s="355"/>
      <c r="E239" s="355"/>
      <c r="F239" s="355"/>
      <c r="G239" s="355"/>
      <c r="H239" s="355"/>
      <c r="I239" s="355"/>
      <c r="J239" s="355"/>
      <c r="K239" s="355"/>
      <c r="L239" s="355"/>
      <c r="M239" s="355"/>
      <c r="N239" s="355"/>
      <c r="P239" s="296"/>
      <c r="Q239" s="296"/>
      <c r="R239" s="296"/>
      <c r="S239" s="296"/>
      <c r="T239" s="296"/>
      <c r="U239" s="296"/>
      <c r="V239" s="296"/>
      <c r="W239" s="296"/>
      <c r="Y239" s="296"/>
      <c r="Z239" s="296"/>
      <c r="AA239" s="296"/>
      <c r="AB239" s="296"/>
      <c r="AC239" s="296"/>
      <c r="AD239" s="296"/>
      <c r="AE239" s="296"/>
      <c r="AF239" s="296"/>
      <c r="AI239" s="295"/>
      <c r="AJ239" s="295"/>
      <c r="AK239" s="295"/>
      <c r="AL239" s="295"/>
      <c r="AM239" s="295"/>
      <c r="AN239" s="295"/>
      <c r="AO239" s="295"/>
      <c r="AP239" s="295"/>
      <c r="AR239" s="295"/>
      <c r="AS239" s="295"/>
      <c r="AT239" s="295"/>
      <c r="AU239" s="295"/>
      <c r="AV239" s="295"/>
      <c r="AW239" s="295"/>
      <c r="AX239" s="295"/>
      <c r="AY239" s="295"/>
      <c r="BA239" s="295"/>
      <c r="BB239" s="295"/>
      <c r="BC239" s="295"/>
      <c r="BD239" s="295"/>
      <c r="BE239" s="295"/>
      <c r="BF239" s="295"/>
      <c r="BG239" s="295"/>
      <c r="BH239" s="295"/>
      <c r="BJ239" s="295"/>
      <c r="BK239" s="295"/>
      <c r="BL239" s="295"/>
      <c r="BM239" s="295"/>
      <c r="BN239" s="295"/>
      <c r="BO239" s="295"/>
      <c r="BP239" s="295"/>
      <c r="BQ239" s="295"/>
      <c r="BS239" s="295"/>
      <c r="BT239" s="295"/>
      <c r="BU239" s="295"/>
      <c r="BV239" s="295"/>
      <c r="BW239" s="295"/>
      <c r="BX239" s="295"/>
      <c r="BY239" s="295"/>
      <c r="BZ239" s="295"/>
      <c r="CB239" s="295"/>
      <c r="CC239" s="295"/>
      <c r="CD239" s="295"/>
      <c r="CE239" s="295"/>
      <c r="CF239" s="295"/>
      <c r="CG239" s="295"/>
      <c r="CH239" s="295"/>
      <c r="CI239" s="295"/>
    </row>
    <row r="240" spans="2:94" ht="31.5" customHeight="1" x14ac:dyDescent="0.35">
      <c r="B240" s="36"/>
      <c r="C240" s="355"/>
      <c r="D240" s="355"/>
      <c r="E240" s="355"/>
      <c r="F240" s="355"/>
      <c r="G240" s="355"/>
      <c r="H240" s="355"/>
      <c r="I240" s="355"/>
      <c r="J240" s="355"/>
      <c r="K240" s="355"/>
      <c r="L240" s="355"/>
      <c r="M240" s="355"/>
      <c r="N240" s="355"/>
      <c r="O240" s="312"/>
      <c r="AC240" s="314"/>
      <c r="AD240" s="314"/>
      <c r="AE240" s="314"/>
      <c r="AF240" s="314"/>
      <c r="AG240" s="314"/>
      <c r="AU240" s="314"/>
      <c r="AV240" s="314"/>
      <c r="AW240" s="314"/>
      <c r="AX240" s="314"/>
      <c r="AY240" s="314"/>
      <c r="BM240" s="314"/>
      <c r="BN240" s="314"/>
      <c r="BO240" s="314"/>
      <c r="BP240" s="314"/>
      <c r="BQ240" s="314"/>
      <c r="CD240" s="308"/>
      <c r="CE240" s="308"/>
      <c r="CF240" s="308"/>
      <c r="CG240" s="308"/>
      <c r="CH240" s="308"/>
      <c r="CI240" s="308"/>
      <c r="CJ240" s="211"/>
      <c r="CK240" s="311"/>
      <c r="CM240" s="312"/>
      <c r="CN240" s="312"/>
      <c r="CO240" s="312"/>
      <c r="CP240" s="312"/>
    </row>
    <row r="241" spans="2:93" ht="15" customHeight="1" x14ac:dyDescent="0.35">
      <c r="C241" s="355"/>
      <c r="D241" s="355"/>
      <c r="E241" s="355"/>
      <c r="F241" s="355"/>
      <c r="G241" s="355"/>
      <c r="H241" s="355"/>
      <c r="I241" s="355"/>
      <c r="J241" s="355"/>
      <c r="K241" s="355"/>
      <c r="L241" s="355"/>
      <c r="M241" s="355"/>
      <c r="N241" s="355"/>
      <c r="P241" s="278"/>
      <c r="Y241" s="37"/>
      <c r="AI241" s="37"/>
      <c r="AR241" s="37"/>
      <c r="BA241" s="37"/>
      <c r="BJ241" s="37"/>
      <c r="BS241" s="37"/>
      <c r="CB241" s="37"/>
    </row>
    <row r="242" spans="2:93" ht="15.5" x14ac:dyDescent="0.35">
      <c r="C242" s="355"/>
      <c r="D242" s="355"/>
      <c r="E242" s="355"/>
      <c r="F242" s="355"/>
      <c r="G242" s="355"/>
      <c r="H242" s="355"/>
      <c r="I242" s="355"/>
      <c r="J242" s="355"/>
      <c r="K242" s="355"/>
      <c r="L242" s="355"/>
      <c r="M242" s="355"/>
      <c r="N242" s="355"/>
      <c r="P242" s="278" t="str">
        <f>IF(G212&gt;=3,"Provide a detailed ACTION PLAN for category #3 in the box below","")</f>
        <v/>
      </c>
      <c r="Y242" s="37"/>
      <c r="AI242" s="37"/>
      <c r="AR242" s="37"/>
      <c r="BA242" s="37"/>
      <c r="BJ242" s="37"/>
      <c r="BS242" s="37"/>
      <c r="CB242" s="37"/>
    </row>
    <row r="243" spans="2:93" ht="12" customHeight="1" x14ac:dyDescent="0.35">
      <c r="C243" s="355"/>
      <c r="D243" s="355"/>
      <c r="E243" s="355"/>
      <c r="F243" s="355"/>
      <c r="G243" s="355"/>
      <c r="H243" s="355"/>
      <c r="I243" s="355"/>
      <c r="J243" s="355"/>
      <c r="K243" s="355"/>
      <c r="L243" s="355"/>
      <c r="M243" s="355"/>
      <c r="N243" s="355"/>
      <c r="O243" s="528"/>
      <c r="P243" s="296"/>
      <c r="Q243" s="296"/>
      <c r="R243" s="296"/>
      <c r="S243" s="296"/>
      <c r="T243" s="296"/>
      <c r="U243" s="296"/>
      <c r="V243" s="296"/>
      <c r="W243" s="296"/>
      <c r="X243" s="528"/>
      <c r="Y243" s="296"/>
      <c r="Z243" s="296"/>
      <c r="AA243" s="296"/>
      <c r="AB243" s="296"/>
      <c r="AC243" s="296"/>
      <c r="AD243" s="296"/>
      <c r="AE243" s="296"/>
      <c r="AF243" s="296"/>
      <c r="AG243" s="528"/>
      <c r="AH243" s="295"/>
      <c r="AI243" s="295"/>
      <c r="AJ243" s="295"/>
      <c r="AK243" s="295"/>
      <c r="AL243" s="295"/>
      <c r="AM243" s="295"/>
      <c r="AN243" s="295"/>
      <c r="AO243" s="295"/>
      <c r="AP243" s="295"/>
      <c r="AQ243" s="528"/>
      <c r="AR243" s="295"/>
      <c r="AS243" s="295"/>
      <c r="AT243" s="295"/>
      <c r="AU243" s="295"/>
      <c r="AV243" s="295"/>
      <c r="AW243" s="295"/>
      <c r="AX243" s="295"/>
      <c r="AY243" s="295"/>
      <c r="AZ243" s="528"/>
      <c r="BA243" s="295"/>
      <c r="BB243" s="295"/>
      <c r="BC243" s="295"/>
      <c r="BD243" s="295"/>
      <c r="BE243" s="295"/>
      <c r="BF243" s="295"/>
      <c r="BG243" s="295"/>
      <c r="BH243" s="295"/>
      <c r="BI243" s="528"/>
      <c r="BJ243" s="295"/>
      <c r="BK243" s="295"/>
      <c r="BL243" s="295"/>
      <c r="BM243" s="295"/>
      <c r="BN243" s="295"/>
      <c r="BO243" s="295"/>
      <c r="BP243" s="295"/>
      <c r="BQ243" s="295"/>
      <c r="BR243" s="528"/>
      <c r="BS243" s="295"/>
      <c r="BT243" s="295"/>
      <c r="BU243" s="295"/>
      <c r="BV243" s="295"/>
      <c r="BW243" s="295"/>
      <c r="BX243" s="295"/>
      <c r="BY243" s="295"/>
      <c r="BZ243" s="295"/>
      <c r="CA243" s="528"/>
      <c r="CB243" s="295"/>
      <c r="CC243" s="295"/>
      <c r="CD243" s="295"/>
      <c r="CE243" s="295"/>
      <c r="CF243" s="295"/>
      <c r="CG243" s="295"/>
      <c r="CH243" s="295"/>
      <c r="CI243" s="295"/>
      <c r="CJ243" s="528" t="str">
        <f>IF(CJ245=1, "&lt;===", "")</f>
        <v/>
      </c>
      <c r="CK243" s="295"/>
      <c r="CL243" s="295"/>
      <c r="CM243" s="295"/>
      <c r="CN243" s="295"/>
      <c r="CO243" s="295"/>
    </row>
    <row r="244" spans="2:93" ht="12" customHeight="1" x14ac:dyDescent="0.35">
      <c r="C244" s="355"/>
      <c r="D244" s="355"/>
      <c r="E244" s="355"/>
      <c r="F244" s="355"/>
      <c r="G244" s="355"/>
      <c r="H244" s="355"/>
      <c r="I244" s="355"/>
      <c r="J244" s="355"/>
      <c r="K244" s="355"/>
      <c r="L244" s="355"/>
      <c r="M244" s="355"/>
      <c r="N244" s="355"/>
      <c r="O244" s="528"/>
      <c r="P244" s="296"/>
      <c r="Q244" s="296"/>
      <c r="R244" s="296"/>
      <c r="S244" s="296"/>
      <c r="T244" s="296"/>
      <c r="U244" s="296"/>
      <c r="V244" s="296"/>
      <c r="W244" s="296"/>
      <c r="X244" s="528"/>
      <c r="Y244" s="296"/>
      <c r="Z244" s="296"/>
      <c r="AA244" s="296"/>
      <c r="AB244" s="296"/>
      <c r="AC244" s="296"/>
      <c r="AD244" s="296"/>
      <c r="AE244" s="296"/>
      <c r="AF244" s="296"/>
      <c r="AG244" s="528"/>
      <c r="AH244" s="295"/>
      <c r="AI244" s="295"/>
      <c r="AJ244" s="295"/>
      <c r="AK244" s="295"/>
      <c r="AL244" s="295"/>
      <c r="AM244" s="295"/>
      <c r="AN244" s="295"/>
      <c r="AO244" s="295"/>
      <c r="AP244" s="295"/>
      <c r="AQ244" s="528"/>
      <c r="AR244" s="295"/>
      <c r="AS244" s="295"/>
      <c r="AT244" s="295"/>
      <c r="AU244" s="295"/>
      <c r="AV244" s="295"/>
      <c r="AW244" s="295"/>
      <c r="AX244" s="295"/>
      <c r="AY244" s="295"/>
      <c r="AZ244" s="528"/>
      <c r="BA244" s="295"/>
      <c r="BB244" s="295"/>
      <c r="BC244" s="295"/>
      <c r="BD244" s="295"/>
      <c r="BE244" s="295"/>
      <c r="BF244" s="295"/>
      <c r="BG244" s="295"/>
      <c r="BH244" s="295"/>
      <c r="BI244" s="528"/>
      <c r="BJ244" s="295"/>
      <c r="BK244" s="295"/>
      <c r="BL244" s="295"/>
      <c r="BM244" s="295"/>
      <c r="BN244" s="295"/>
      <c r="BO244" s="295"/>
      <c r="BP244" s="295"/>
      <c r="BQ244" s="295"/>
      <c r="BR244" s="528"/>
      <c r="BS244" s="295"/>
      <c r="BT244" s="295"/>
      <c r="BU244" s="295"/>
      <c r="BV244" s="295"/>
      <c r="BW244" s="295"/>
      <c r="BX244" s="295"/>
      <c r="BY244" s="295"/>
      <c r="BZ244" s="295"/>
      <c r="CA244" s="528"/>
      <c r="CB244" s="295"/>
      <c r="CC244" s="295"/>
      <c r="CD244" s="295"/>
      <c r="CE244" s="295"/>
      <c r="CF244" s="295"/>
      <c r="CG244" s="295"/>
      <c r="CH244" s="295"/>
      <c r="CI244" s="295"/>
      <c r="CJ244" s="528"/>
      <c r="CK244" s="295"/>
      <c r="CL244" s="295"/>
      <c r="CM244" s="295"/>
      <c r="CN244" s="295"/>
      <c r="CO244" s="295"/>
    </row>
    <row r="245" spans="2:93" ht="12" customHeight="1" x14ac:dyDescent="0.35">
      <c r="C245" s="355"/>
      <c r="D245" s="355"/>
      <c r="E245" s="355"/>
      <c r="F245" s="355"/>
      <c r="G245" s="355"/>
      <c r="H245" s="355"/>
      <c r="I245" s="355"/>
      <c r="J245" s="355"/>
      <c r="K245" s="355"/>
      <c r="L245" s="355"/>
      <c r="M245" s="355"/>
      <c r="N245" s="355"/>
      <c r="O245" s="167"/>
      <c r="P245" s="296"/>
      <c r="Q245" s="296"/>
      <c r="R245" s="296"/>
      <c r="S245" s="296"/>
      <c r="T245" s="296"/>
      <c r="U245" s="296"/>
      <c r="V245" s="296"/>
      <c r="W245" s="296"/>
      <c r="X245" s="167"/>
      <c r="Y245" s="296"/>
      <c r="Z245" s="296"/>
      <c r="AA245" s="296"/>
      <c r="AB245" s="296"/>
      <c r="AC245" s="296"/>
      <c r="AD245" s="296"/>
      <c r="AE245" s="296"/>
      <c r="AF245" s="296"/>
      <c r="AG245" s="167"/>
      <c r="AH245" s="295"/>
      <c r="AI245" s="295"/>
      <c r="AJ245" s="295"/>
      <c r="AK245" s="295"/>
      <c r="AL245" s="295"/>
      <c r="AM245" s="295"/>
      <c r="AN245" s="295"/>
      <c r="AO245" s="295"/>
      <c r="AP245" s="295"/>
      <c r="AQ245" s="167"/>
      <c r="AR245" s="295"/>
      <c r="AS245" s="295"/>
      <c r="AT245" s="295"/>
      <c r="AU245" s="295"/>
      <c r="AV245" s="295"/>
      <c r="AW245" s="295"/>
      <c r="AX245" s="295"/>
      <c r="AY245" s="295"/>
      <c r="AZ245" s="167"/>
      <c r="BA245" s="295"/>
      <c r="BB245" s="295"/>
      <c r="BC245" s="295"/>
      <c r="BD245" s="295"/>
      <c r="BE245" s="295"/>
      <c r="BF245" s="295"/>
      <c r="BG245" s="295"/>
      <c r="BH245" s="295"/>
      <c r="BI245" s="167"/>
      <c r="BJ245" s="295"/>
      <c r="BK245" s="295"/>
      <c r="BL245" s="295"/>
      <c r="BM245" s="295"/>
      <c r="BN245" s="295"/>
      <c r="BO245" s="295"/>
      <c r="BP245" s="295"/>
      <c r="BQ245" s="295"/>
      <c r="BR245" s="167"/>
      <c r="BS245" s="295"/>
      <c r="BT245" s="295"/>
      <c r="BU245" s="295"/>
      <c r="BV245" s="295"/>
      <c r="BW245" s="295"/>
      <c r="BX245" s="295"/>
      <c r="BY245" s="295"/>
      <c r="BZ245" s="295"/>
      <c r="CA245" s="167"/>
      <c r="CB245" s="295"/>
      <c r="CC245" s="295"/>
      <c r="CD245" s="295"/>
      <c r="CE245" s="295"/>
      <c r="CF245" s="295"/>
      <c r="CG245" s="295"/>
      <c r="CH245" s="295"/>
      <c r="CI245" s="295"/>
      <c r="CJ245" s="167"/>
      <c r="CK245" s="295"/>
      <c r="CL245" s="295"/>
      <c r="CM245" s="295"/>
      <c r="CN245" s="295"/>
      <c r="CO245" s="295"/>
    </row>
    <row r="246" spans="2:93" ht="12" customHeight="1" x14ac:dyDescent="0.35">
      <c r="C246" s="296"/>
      <c r="D246" s="296"/>
      <c r="E246" s="296"/>
      <c r="F246" s="296"/>
      <c r="G246" s="296"/>
      <c r="H246" s="295"/>
      <c r="I246" s="296"/>
      <c r="J246" s="296"/>
      <c r="K246" s="296"/>
      <c r="L246" s="296"/>
      <c r="M246" s="296"/>
      <c r="N246" s="296"/>
      <c r="O246" s="295"/>
      <c r="P246" s="296"/>
      <c r="Q246" s="296"/>
      <c r="R246" s="296"/>
      <c r="S246" s="296"/>
      <c r="T246" s="296"/>
      <c r="U246" s="296"/>
      <c r="V246" s="296"/>
      <c r="W246" s="296"/>
      <c r="X246" s="295"/>
      <c r="Y246" s="296"/>
      <c r="Z246" s="296"/>
      <c r="AA246" s="296"/>
      <c r="AB246" s="296"/>
      <c r="AC246" s="296"/>
      <c r="AD246" s="296"/>
      <c r="AE246" s="296"/>
      <c r="AF246" s="296"/>
      <c r="AG246" s="295"/>
      <c r="AH246" s="295"/>
      <c r="AI246" s="295"/>
      <c r="AJ246" s="295"/>
      <c r="AK246" s="295"/>
      <c r="AL246" s="295"/>
      <c r="AM246" s="295"/>
      <c r="AN246" s="295"/>
      <c r="AO246" s="295"/>
      <c r="AP246" s="295"/>
      <c r="AQ246" s="295"/>
      <c r="AR246" s="295"/>
      <c r="AS246" s="295"/>
      <c r="AT246" s="295"/>
      <c r="AU246" s="295"/>
      <c r="AV246" s="295"/>
      <c r="AW246" s="295"/>
      <c r="AX246" s="295"/>
      <c r="AY246" s="295"/>
      <c r="BA246" s="295"/>
      <c r="BB246" s="295"/>
      <c r="BC246" s="295"/>
      <c r="BD246" s="295"/>
      <c r="BE246" s="295"/>
      <c r="BF246" s="295"/>
      <c r="BG246" s="295"/>
      <c r="BH246" s="295"/>
      <c r="BI246" s="295"/>
      <c r="BJ246" s="295"/>
      <c r="BK246" s="295"/>
      <c r="BL246" s="295"/>
      <c r="BM246" s="295"/>
      <c r="BN246" s="295"/>
      <c r="BO246" s="295"/>
      <c r="BP246" s="295"/>
      <c r="BQ246" s="295"/>
      <c r="BS246" s="295"/>
      <c r="BT246" s="295"/>
      <c r="BU246" s="295"/>
      <c r="BV246" s="295"/>
      <c r="BW246" s="295"/>
      <c r="BX246" s="295"/>
      <c r="BY246" s="295"/>
      <c r="BZ246" s="295"/>
      <c r="CA246" s="295"/>
      <c r="CB246" s="295"/>
      <c r="CC246" s="295"/>
      <c r="CD246" s="295"/>
      <c r="CE246" s="295"/>
      <c r="CF246" s="295"/>
      <c r="CG246" s="295"/>
      <c r="CH246" s="295"/>
      <c r="CI246" s="295"/>
      <c r="CJ246" s="295"/>
      <c r="CK246" s="295"/>
      <c r="CL246" s="295"/>
      <c r="CM246" s="295"/>
      <c r="CN246" s="295"/>
      <c r="CO246" s="295"/>
    </row>
    <row r="247" spans="2:93" ht="12" customHeight="1" x14ac:dyDescent="0.35">
      <c r="C247" s="296"/>
      <c r="D247" s="296"/>
      <c r="E247" s="296"/>
      <c r="F247" s="296"/>
      <c r="G247" s="296"/>
      <c r="H247" s="295"/>
      <c r="I247" s="296"/>
      <c r="J247" s="296"/>
      <c r="K247" s="296"/>
      <c r="L247" s="296"/>
      <c r="M247" s="296"/>
      <c r="N247" s="296"/>
      <c r="O247" s="295"/>
      <c r="P247" s="296"/>
      <c r="Q247" s="296"/>
      <c r="R247" s="296"/>
      <c r="S247" s="296"/>
      <c r="T247" s="296"/>
      <c r="U247" s="296"/>
      <c r="V247" s="296"/>
      <c r="W247" s="296"/>
      <c r="X247" s="295"/>
      <c r="Y247" s="296"/>
      <c r="Z247" s="296"/>
      <c r="AA247" s="296"/>
      <c r="AB247" s="296"/>
      <c r="AC247" s="296"/>
      <c r="AD247" s="296"/>
      <c r="AE247" s="296"/>
      <c r="AF247" s="296"/>
      <c r="AG247" s="295"/>
      <c r="AH247" s="295"/>
      <c r="AI247" s="295"/>
      <c r="AJ247" s="295"/>
      <c r="AK247" s="295"/>
      <c r="AL247" s="295"/>
      <c r="AM247" s="295"/>
      <c r="AN247" s="295"/>
      <c r="AO247" s="295"/>
      <c r="AP247" s="295"/>
      <c r="AQ247" s="295"/>
      <c r="AR247" s="295"/>
      <c r="AS247" s="295"/>
      <c r="AT247" s="295"/>
      <c r="AU247" s="295"/>
      <c r="AV247" s="295"/>
      <c r="AW247" s="295"/>
      <c r="AX247" s="295"/>
      <c r="AY247" s="295"/>
      <c r="BA247" s="295"/>
      <c r="BB247" s="295"/>
      <c r="BC247" s="295"/>
      <c r="BD247" s="295"/>
      <c r="BE247" s="295"/>
      <c r="BF247" s="295"/>
      <c r="BG247" s="295"/>
      <c r="BH247" s="295"/>
      <c r="BI247" s="295"/>
      <c r="BJ247" s="295"/>
      <c r="BK247" s="295"/>
      <c r="BL247" s="295"/>
      <c r="BM247" s="295"/>
      <c r="BN247" s="295"/>
      <c r="BO247" s="295"/>
      <c r="BP247" s="295"/>
      <c r="BQ247" s="295"/>
      <c r="BS247" s="295"/>
      <c r="BT247" s="295"/>
      <c r="BU247" s="295"/>
      <c r="BV247" s="295"/>
      <c r="BW247" s="295"/>
      <c r="BX247" s="295"/>
      <c r="BY247" s="295"/>
      <c r="BZ247" s="295"/>
      <c r="CA247" s="295"/>
      <c r="CB247" s="295"/>
      <c r="CC247" s="295"/>
      <c r="CD247" s="295"/>
      <c r="CE247" s="295"/>
      <c r="CF247" s="295"/>
      <c r="CG247" s="295"/>
      <c r="CH247" s="295"/>
      <c r="CI247" s="295"/>
      <c r="CJ247" s="295"/>
      <c r="CK247" s="295"/>
      <c r="CL247" s="295"/>
      <c r="CM247" s="295"/>
      <c r="CN247" s="295"/>
      <c r="CO247" s="295"/>
    </row>
    <row r="248" spans="2:93" x14ac:dyDescent="0.35">
      <c r="C248" s="295"/>
      <c r="D248" s="295"/>
      <c r="E248" s="295"/>
      <c r="F248" s="295"/>
      <c r="G248" s="295"/>
    </row>
    <row r="250" spans="2:93" hidden="1" x14ac:dyDescent="0.35"/>
    <row r="251" spans="2:93" hidden="1" x14ac:dyDescent="0.35">
      <c r="B251" s="14"/>
      <c r="C251" s="15">
        <f>$D$16</f>
        <v>600000</v>
      </c>
      <c r="D251" s="402" t="str">
        <f>$D$18</f>
        <v>Accordance Community College</v>
      </c>
      <c r="E251" s="402"/>
      <c r="F251" s="402"/>
      <c r="G251" s="402"/>
      <c r="H251" s="402"/>
      <c r="I251" s="402"/>
      <c r="J251" s="402"/>
      <c r="K251" s="402"/>
    </row>
    <row r="252" spans="2:93" hidden="1" x14ac:dyDescent="0.35"/>
    <row r="253" spans="2:93" ht="18" hidden="1" x14ac:dyDescent="0.4">
      <c r="B253" s="115" t="s">
        <v>0</v>
      </c>
      <c r="C253" s="116"/>
      <c r="D253" s="116"/>
      <c r="E253" s="116"/>
      <c r="F253" s="117"/>
      <c r="G253" s="116"/>
      <c r="H253" s="116"/>
      <c r="I253" s="116"/>
      <c r="J253" s="116"/>
      <c r="K253" s="116"/>
      <c r="L253" s="116"/>
      <c r="M253" s="116"/>
      <c r="N253" s="116"/>
    </row>
    <row r="254" spans="2:93" ht="119.25" hidden="1" customHeight="1" x14ac:dyDescent="0.35">
      <c r="B254" s="490" t="s">
        <v>45</v>
      </c>
      <c r="C254" s="490"/>
      <c r="D254" s="490"/>
      <c r="E254" s="490"/>
      <c r="F254" s="490"/>
      <c r="G254" s="490"/>
      <c r="H254" s="490"/>
      <c r="I254" s="490"/>
      <c r="J254" s="490"/>
      <c r="K254" s="490"/>
      <c r="L254" s="490"/>
      <c r="M254" s="490"/>
      <c r="N254" s="490"/>
      <c r="O254" s="5"/>
    </row>
    <row r="255" spans="2:93" ht="23.25" hidden="1" customHeight="1" x14ac:dyDescent="0.35">
      <c r="B255" s="526" t="s">
        <v>9</v>
      </c>
      <c r="C255" s="526"/>
      <c r="D255" s="526"/>
      <c r="E255" s="526"/>
      <c r="F255" s="526"/>
      <c r="G255" s="526"/>
      <c r="H255" s="526"/>
      <c r="I255" s="526"/>
      <c r="J255" s="526"/>
      <c r="K255" s="526"/>
      <c r="L255" s="526"/>
      <c r="M255" s="526"/>
      <c r="N255" s="526"/>
    </row>
    <row r="256" spans="2:93" hidden="1" x14ac:dyDescent="0.35"/>
    <row r="257" spans="2:9" ht="30.75" hidden="1" customHeight="1" x14ac:dyDescent="0.35">
      <c r="B257" s="8"/>
      <c r="C257" s="399" t="s">
        <v>8</v>
      </c>
      <c r="D257" s="399"/>
      <c r="E257" s="399"/>
      <c r="F257" s="488"/>
      <c r="G257" s="81"/>
      <c r="H257" s="74" t="str">
        <f>IF($G$257="", " &lt;=== Select from drop down list","")</f>
        <v xml:space="preserve"> &lt;=== Select from drop down list</v>
      </c>
    </row>
    <row r="258" spans="2:9" hidden="1" x14ac:dyDescent="0.35"/>
    <row r="259" spans="2:9" ht="26.25" hidden="1" customHeight="1" x14ac:dyDescent="0.35">
      <c r="B259" s="8"/>
      <c r="C259" s="399" t="str">
        <f>IF(G257="Yes", "Is the program exclusively distance ed (i.e., no campus)?","")</f>
        <v/>
      </c>
      <c r="D259" s="399"/>
      <c r="E259" s="399"/>
      <c r="F259" s="399"/>
      <c r="G259" s="75"/>
      <c r="H259" s="73" t="str">
        <f>IF(AND($G$257="Yes",G259=""), " &lt;=== Select from drop down list","")</f>
        <v/>
      </c>
    </row>
    <row r="260" spans="2:9" hidden="1" x14ac:dyDescent="0.35"/>
    <row r="261" spans="2:9" ht="26.25" hidden="1" customHeight="1" x14ac:dyDescent="0.35">
      <c r="B261" s="8"/>
      <c r="C261" s="399" t="str">
        <f>IF(G257="Yes", "Are there DE students out-of-state?","")</f>
        <v/>
      </c>
      <c r="D261" s="399"/>
      <c r="E261" s="399"/>
      <c r="F261" s="399"/>
      <c r="G261" s="75"/>
      <c r="H261" s="73" t="str">
        <f>IF(AND($G$257="Yes",G261=""), " &lt;=== Select from drop down list","")</f>
        <v/>
      </c>
    </row>
    <row r="262" spans="2:9" hidden="1" x14ac:dyDescent="0.35"/>
    <row r="263" spans="2:9" ht="26.25" hidden="1" customHeight="1" x14ac:dyDescent="0.35">
      <c r="B263" s="8"/>
      <c r="C263" s="399" t="str">
        <f>IF(G257="Yes", "Percentage (approximate) of the program delivered by distance:","")</f>
        <v/>
      </c>
      <c r="D263" s="399"/>
      <c r="E263" s="399"/>
      <c r="F263" s="399"/>
      <c r="G263" s="76"/>
      <c r="H263" s="74" t="str">
        <f>IF(AND($G$257="Yes",G263=""), " &lt;=== Select from drop down list","")</f>
        <v/>
      </c>
    </row>
    <row r="264" spans="2:9" hidden="1" x14ac:dyDescent="0.35"/>
    <row r="265" spans="2:9" ht="26.25" hidden="1" customHeight="1" x14ac:dyDescent="0.35">
      <c r="B265" s="8"/>
      <c r="C265" s="399" t="str">
        <f>IF(G257="Yes", "List of courses that are totally web based (i.e., no face-to-face instruction)","")</f>
        <v/>
      </c>
      <c r="D265" s="399"/>
      <c r="E265" s="399"/>
      <c r="F265" s="399"/>
      <c r="G265" s="399"/>
      <c r="H265" s="399"/>
      <c r="I265" s="399"/>
    </row>
    <row r="266" spans="2:9" ht="6.75" hidden="1" customHeight="1" x14ac:dyDescent="0.35"/>
    <row r="267" spans="2:9" hidden="1" x14ac:dyDescent="0.35">
      <c r="C267" s="77" t="str">
        <f>IF(G257="Yes","Course Number","")</f>
        <v/>
      </c>
      <c r="D267" s="409" t="str">
        <f>IF(G257="Yes","Course Title","")</f>
        <v/>
      </c>
      <c r="E267" s="409"/>
      <c r="F267" s="409"/>
      <c r="G267" s="77" t="str">
        <f>IF(G257="Yes","# of credits","")</f>
        <v/>
      </c>
      <c r="H267" s="77" t="str">
        <f>IF(G257="Yes","# lecture hours","")</f>
        <v/>
      </c>
      <c r="I267" s="77" t="str">
        <f>IF(G257="Yes","Core Course?","")</f>
        <v/>
      </c>
    </row>
    <row r="268" spans="2:9" hidden="1" x14ac:dyDescent="0.35">
      <c r="C268" s="80"/>
      <c r="D268" s="382"/>
      <c r="E268" s="382"/>
      <c r="F268" s="382"/>
      <c r="G268" s="79"/>
      <c r="H268" s="78"/>
      <c r="I268" s="75"/>
    </row>
    <row r="269" spans="2:9" hidden="1" x14ac:dyDescent="0.35">
      <c r="C269" s="80"/>
      <c r="D269" s="382"/>
      <c r="E269" s="382"/>
      <c r="F269" s="382"/>
      <c r="G269" s="79"/>
      <c r="H269" s="78"/>
      <c r="I269" s="75"/>
    </row>
    <row r="270" spans="2:9" hidden="1" x14ac:dyDescent="0.35">
      <c r="C270" s="80"/>
      <c r="D270" s="382"/>
      <c r="E270" s="382"/>
      <c r="F270" s="382"/>
      <c r="G270" s="79"/>
      <c r="H270" s="78"/>
      <c r="I270" s="75"/>
    </row>
    <row r="271" spans="2:9" hidden="1" x14ac:dyDescent="0.35">
      <c r="C271" s="80"/>
      <c r="D271" s="382"/>
      <c r="E271" s="382"/>
      <c r="F271" s="382"/>
      <c r="G271" s="79"/>
      <c r="H271" s="78"/>
      <c r="I271" s="75"/>
    </row>
    <row r="272" spans="2:9" hidden="1" x14ac:dyDescent="0.35">
      <c r="C272" s="80"/>
      <c r="D272" s="382"/>
      <c r="E272" s="382"/>
      <c r="F272" s="382"/>
      <c r="G272" s="79"/>
      <c r="H272" s="78"/>
      <c r="I272" s="75"/>
    </row>
    <row r="273" spans="2:14" hidden="1" x14ac:dyDescent="0.35">
      <c r="C273" s="80"/>
      <c r="D273" s="382"/>
      <c r="E273" s="382"/>
      <c r="F273" s="382"/>
      <c r="G273" s="79"/>
      <c r="H273" s="78"/>
      <c r="I273" s="75"/>
    </row>
    <row r="274" spans="2:14" hidden="1" x14ac:dyDescent="0.35">
      <c r="C274" s="80"/>
      <c r="D274" s="382"/>
      <c r="E274" s="382"/>
      <c r="F274" s="382"/>
      <c r="G274" s="79"/>
      <c r="H274" s="78"/>
      <c r="I274" s="75"/>
    </row>
    <row r="275" spans="2:14" hidden="1" x14ac:dyDescent="0.35">
      <c r="C275" s="80"/>
      <c r="D275" s="382"/>
      <c r="E275" s="382"/>
      <c r="F275" s="382"/>
      <c r="G275" s="79"/>
      <c r="H275" s="78"/>
      <c r="I275" s="75"/>
    </row>
    <row r="276" spans="2:14" hidden="1" x14ac:dyDescent="0.35">
      <c r="C276" s="80"/>
      <c r="D276" s="382"/>
      <c r="E276" s="382"/>
      <c r="F276" s="382"/>
      <c r="G276" s="79"/>
      <c r="H276" s="78"/>
      <c r="I276" s="75"/>
    </row>
    <row r="277" spans="2:14" hidden="1" x14ac:dyDescent="0.35">
      <c r="C277" s="80"/>
      <c r="D277" s="382"/>
      <c r="E277" s="382"/>
      <c r="F277" s="382"/>
      <c r="G277" s="79"/>
      <c r="H277" s="78"/>
      <c r="I277" s="75"/>
    </row>
    <row r="278" spans="2:14" hidden="1" x14ac:dyDescent="0.35">
      <c r="C278" s="80"/>
      <c r="D278" s="382"/>
      <c r="E278" s="382"/>
      <c r="F278" s="382"/>
      <c r="G278" s="79"/>
      <c r="H278" s="78"/>
      <c r="I278" s="75"/>
    </row>
    <row r="279" spans="2:14" hidden="1" x14ac:dyDescent="0.35">
      <c r="B279" s="14"/>
      <c r="C279" s="80"/>
      <c r="D279" s="382"/>
      <c r="E279" s="382"/>
      <c r="F279" s="382"/>
      <c r="G279" s="79"/>
      <c r="H279" s="78"/>
      <c r="I279" s="75"/>
    </row>
    <row r="280" spans="2:14" hidden="1" x14ac:dyDescent="0.35">
      <c r="B280" s="16"/>
      <c r="C280" s="80"/>
      <c r="D280" s="382"/>
      <c r="E280" s="382"/>
      <c r="F280" s="382"/>
      <c r="G280" s="79"/>
      <c r="H280" s="78"/>
      <c r="I280" s="75"/>
    </row>
    <row r="281" spans="2:14" hidden="1" x14ac:dyDescent="0.35">
      <c r="B281" s="14"/>
      <c r="C281" s="80"/>
      <c r="D281" s="382"/>
      <c r="E281" s="382"/>
      <c r="F281" s="382"/>
      <c r="G281" s="79"/>
      <c r="H281" s="78"/>
      <c r="I281" s="75"/>
    </row>
    <row r="282" spans="2:14" hidden="1" x14ac:dyDescent="0.35">
      <c r="B282" s="16"/>
      <c r="C282" s="80"/>
      <c r="D282" s="382"/>
      <c r="E282" s="382"/>
      <c r="F282" s="382"/>
      <c r="G282" s="79"/>
      <c r="H282" s="78"/>
      <c r="I282" s="75"/>
    </row>
    <row r="283" spans="2:14" hidden="1" x14ac:dyDescent="0.35"/>
    <row r="284" spans="2:14" hidden="1" x14ac:dyDescent="0.35"/>
    <row r="285" spans="2:14" hidden="1" x14ac:dyDescent="0.35"/>
    <row r="286" spans="2:14" x14ac:dyDescent="0.35">
      <c r="C286" s="15">
        <f>$D$16</f>
        <v>600000</v>
      </c>
      <c r="D286" s="402" t="str">
        <f>$D$18</f>
        <v>Accordance Community College</v>
      </c>
      <c r="E286" s="402"/>
      <c r="F286" s="402"/>
      <c r="G286" s="402"/>
      <c r="H286" s="402"/>
      <c r="I286" s="402"/>
      <c r="J286" s="402"/>
      <c r="K286" s="402"/>
    </row>
    <row r="288" spans="2:14" ht="18" x14ac:dyDescent="0.4">
      <c r="B288" s="118" t="s">
        <v>83</v>
      </c>
      <c r="C288" s="119"/>
      <c r="D288" s="119"/>
      <c r="E288" s="119"/>
      <c r="F288" s="120"/>
      <c r="G288" s="119"/>
      <c r="H288" s="119"/>
      <c r="I288" s="119"/>
      <c r="J288" s="119"/>
      <c r="K288" s="119"/>
      <c r="L288" s="119"/>
      <c r="M288" s="119"/>
      <c r="N288" s="119"/>
    </row>
    <row r="289" spans="2:16" ht="27" customHeight="1" x14ac:dyDescent="0.35"/>
    <row r="290" spans="2:16" ht="47.25" customHeight="1" x14ac:dyDescent="0.35">
      <c r="B290" s="305">
        <v>1</v>
      </c>
      <c r="C290" s="344" t="str">
        <f>"Total number of clock hours of instruction per student in "&amp;D4&amp;" 
(didactic, lab, clinical, field experience, and capstone field internship)"</f>
        <v>Total number of clock hours of instruction per student in 2023 
(didactic, lab, clinical, field experience, and capstone field internship)</v>
      </c>
      <c r="D290" s="344"/>
      <c r="E290" s="344"/>
      <c r="F290" s="380"/>
      <c r="G290" s="209">
        <v>1024</v>
      </c>
      <c r="H290" s="206" t="s">
        <v>71</v>
      </c>
      <c r="I290" s="401" t="str">
        <f>IF(AND(D411&lt;&gt;"",(SUM(G294,G296,G298,G300,G302)&lt;&gt;G290)),"&lt;== The combined number of hours in question 2 must equal 
        the total number of clock hours","")</f>
        <v/>
      </c>
      <c r="J290" s="401"/>
      <c r="K290" s="401"/>
      <c r="L290" s="401"/>
      <c r="M290" s="401"/>
      <c r="O290" s="170" t="str">
        <f>IF(P290=1, "&lt;===", "")</f>
        <v/>
      </c>
      <c r="P290" s="167" t="str">
        <f>IF(OR(AND(G290="",D411&lt;&gt;""),AND(G290&lt;&gt;"",SUM(G294,G296,G298,G300,G302)&gt;G290,D411&lt;&gt;"")), 1, "")</f>
        <v/>
      </c>
    </row>
    <row r="291" spans="2:16" ht="20.25" customHeight="1" x14ac:dyDescent="0.35"/>
    <row r="292" spans="2:16" ht="35.25" customHeight="1" x14ac:dyDescent="0.35">
      <c r="B292" s="207">
        <v>2</v>
      </c>
      <c r="C292" s="346" t="str">
        <f>"Number of clock hours students were required to successfully complete prior to graduation in each environment in "&amp;D4&amp;"?"</f>
        <v>Number of clock hours students were required to successfully complete prior to graduation in each environment in 2023?</v>
      </c>
      <c r="D292" s="346"/>
      <c r="E292" s="346"/>
      <c r="F292" s="346"/>
      <c r="G292" s="165"/>
      <c r="H292" s="206"/>
      <c r="O292" s="170" t="str">
        <f>IF(P292=1, "&lt;===", "")</f>
        <v/>
      </c>
      <c r="P292" s="167" t="str">
        <f>IF(AND(G292="Please Select",D437&lt;&gt;""), 1, "")</f>
        <v/>
      </c>
    </row>
    <row r="293" spans="2:16" ht="34.5" customHeight="1" x14ac:dyDescent="0.35">
      <c r="D293" s="377" t="s">
        <v>146</v>
      </c>
      <c r="E293" s="377"/>
      <c r="F293" s="377"/>
      <c r="G293" s="377"/>
      <c r="H293" s="377"/>
    </row>
    <row r="294" spans="2:16" ht="25.5" customHeight="1" x14ac:dyDescent="0.35">
      <c r="D294" s="375" t="s">
        <v>143</v>
      </c>
      <c r="E294" s="375"/>
      <c r="F294" s="375"/>
      <c r="G294" s="209">
        <v>252</v>
      </c>
      <c r="H294" s="206" t="s">
        <v>71</v>
      </c>
      <c r="O294" s="197" t="str">
        <f>IF(P294=1, "&lt;===", "")</f>
        <v/>
      </c>
      <c r="P294" s="167" t="str">
        <f>IF(AND(G294="",D411&lt;&gt;""), 1, "")</f>
        <v/>
      </c>
    </row>
    <row r="295" spans="2:16" ht="12" customHeight="1" x14ac:dyDescent="0.35"/>
    <row r="296" spans="2:16" ht="25.5" customHeight="1" x14ac:dyDescent="0.35">
      <c r="C296" s="210"/>
      <c r="D296" s="375" t="s">
        <v>144</v>
      </c>
      <c r="E296" s="375"/>
      <c r="F296" s="376"/>
      <c r="G296" s="209">
        <v>252</v>
      </c>
      <c r="H296" s="206" t="s">
        <v>71</v>
      </c>
      <c r="O296" s="197" t="str">
        <f>IF(P296=1, "&lt;===", "")</f>
        <v/>
      </c>
      <c r="P296" s="167" t="str">
        <f>IF(AND(G296="",D411&lt;&gt;""), 1, "")</f>
        <v/>
      </c>
    </row>
    <row r="297" spans="2:16" ht="12" customHeight="1" x14ac:dyDescent="0.35"/>
    <row r="298" spans="2:16" ht="25.5" customHeight="1" x14ac:dyDescent="0.35">
      <c r="D298" s="375" t="s">
        <v>74</v>
      </c>
      <c r="E298" s="375"/>
      <c r="F298" s="375"/>
      <c r="G298" s="209">
        <v>200</v>
      </c>
      <c r="H298" s="206" t="s">
        <v>71</v>
      </c>
      <c r="O298" s="197" t="str">
        <f>IF(P298=1, "&lt;===", "")</f>
        <v/>
      </c>
      <c r="P298" s="167" t="str">
        <f>IF(AND(G298="",D411&lt;&gt;""), 1, "")</f>
        <v/>
      </c>
    </row>
    <row r="299" spans="2:16" ht="12" customHeight="1" x14ac:dyDescent="0.35"/>
    <row r="300" spans="2:16" ht="27.75" customHeight="1" x14ac:dyDescent="0.35">
      <c r="C300" s="210"/>
      <c r="D300" s="375" t="s">
        <v>76</v>
      </c>
      <c r="E300" s="375"/>
      <c r="F300" s="376"/>
      <c r="G300" s="209">
        <v>200</v>
      </c>
      <c r="H300" s="206" t="s">
        <v>71</v>
      </c>
      <c r="O300" s="197" t="str">
        <f>IF(P300=1, "&lt;===", "")</f>
        <v/>
      </c>
      <c r="P300" s="167" t="str">
        <f>IF(AND(G300="",D411&lt;&gt;""), 1, "")</f>
        <v/>
      </c>
    </row>
    <row r="301" spans="2:16" ht="12" customHeight="1" x14ac:dyDescent="0.35"/>
    <row r="302" spans="2:16" ht="25.5" customHeight="1" x14ac:dyDescent="0.35">
      <c r="D302" s="375" t="s">
        <v>73</v>
      </c>
      <c r="E302" s="375"/>
      <c r="F302" s="375"/>
      <c r="G302" s="209">
        <v>120</v>
      </c>
      <c r="H302" s="206" t="s">
        <v>71</v>
      </c>
      <c r="O302" s="197" t="str">
        <f>IF(P302=1, "&lt;===", "")</f>
        <v/>
      </c>
      <c r="P302" s="167" t="str">
        <f>IF(AND(G302="",D411&lt;&gt;""), 1, "")</f>
        <v/>
      </c>
    </row>
    <row r="303" spans="2:16" ht="30" customHeight="1" x14ac:dyDescent="0.35"/>
    <row r="304" spans="2:16" ht="49.5" customHeight="1" x14ac:dyDescent="0.35">
      <c r="B304" s="207">
        <v>3</v>
      </c>
      <c r="C304" s="344" t="str">
        <f>"Total number of full-time educational faculty in the Paramedic educational program (including Program Director) in "&amp;D4&amp;"?"</f>
        <v>Total number of full-time educational faculty in the Paramedic educational program (including Program Director) in 2023?</v>
      </c>
      <c r="D304" s="344"/>
      <c r="E304" s="344"/>
      <c r="F304" s="380"/>
      <c r="G304" s="209">
        <v>2</v>
      </c>
      <c r="H304" s="206"/>
      <c r="O304" s="170" t="str">
        <f>IF(P304=1, "&lt;===", "")</f>
        <v/>
      </c>
      <c r="P304" s="167" t="str">
        <f>IF(AND(G304="",D411&lt;&gt;""), 1, "")</f>
        <v/>
      </c>
    </row>
    <row r="305" spans="1:17" ht="18" customHeight="1" x14ac:dyDescent="0.35"/>
    <row r="306" spans="1:17" ht="49.5" customHeight="1" x14ac:dyDescent="0.35">
      <c r="B306" s="207">
        <v>4</v>
      </c>
      <c r="C306" s="344" t="str">
        <f>"On average, how many months were required for on-time successful completion of the Paramedic educational program for students graduating in "&amp;D4&amp;"?"</f>
        <v>On average, how many months were required for on-time successful completion of the Paramedic educational program for students graduating in 2023?</v>
      </c>
      <c r="D306" s="344"/>
      <c r="E306" s="344"/>
      <c r="F306" s="380"/>
      <c r="G306" s="209">
        <v>12</v>
      </c>
      <c r="H306" s="206" t="s">
        <v>72</v>
      </c>
      <c r="O306" s="170" t="str">
        <f>IF(P306=1, "&lt;===", "")</f>
        <v/>
      </c>
      <c r="P306" s="167" t="str">
        <f>IF(AND(G306="",D411&lt;&gt;""), 1, "")</f>
        <v/>
      </c>
    </row>
    <row r="307" spans="1:17" ht="20.25" customHeight="1" x14ac:dyDescent="0.35"/>
    <row r="308" spans="1:17" ht="49.5" customHeight="1" x14ac:dyDescent="0.35">
      <c r="B308" s="207">
        <v>5</v>
      </c>
      <c r="C308" s="344" t="str">
        <f>"Did the Paramedic educational program have an identified clinical coordinator in "&amp;D4&amp;"?"</f>
        <v>Did the Paramedic educational program have an identified clinical coordinator in 2023?</v>
      </c>
      <c r="D308" s="344"/>
      <c r="E308" s="344"/>
      <c r="F308" s="380"/>
      <c r="G308" s="81" t="s">
        <v>162</v>
      </c>
      <c r="O308" s="170" t="str">
        <f>IF(P308=1, "&lt;===", "")</f>
        <v/>
      </c>
      <c r="P308" s="167" t="str">
        <f>IF(AND(G308="Please Select",D411&lt;&gt;""), 1, "")</f>
        <v/>
      </c>
    </row>
    <row r="309" spans="1:17" ht="20.25" customHeight="1" x14ac:dyDescent="0.35"/>
    <row r="310" spans="1:17" ht="31.5" hidden="1" customHeight="1" x14ac:dyDescent="0.35">
      <c r="K310" s="10"/>
    </row>
    <row r="311" spans="1:17" ht="18.75" hidden="1" customHeight="1" x14ac:dyDescent="0.35">
      <c r="B311" s="257" t="s">
        <v>136</v>
      </c>
      <c r="C311" s="517" t="str">
        <f>"Which professional award(s) did the Paramedic educational program offer in "&amp;D4&amp;"?"</f>
        <v>Which professional award(s) did the Paramedic educational program offer in 2023?</v>
      </c>
      <c r="D311" s="517"/>
      <c r="E311" s="517"/>
      <c r="F311" s="517"/>
      <c r="G311" s="517"/>
      <c r="H311" s="517"/>
      <c r="I311" s="517"/>
      <c r="J311" s="517"/>
      <c r="K311" s="211"/>
      <c r="O311" s="170"/>
      <c r="P311" s="167"/>
    </row>
    <row r="312" spans="1:17" ht="8.25" hidden="1" customHeight="1" x14ac:dyDescent="0.35">
      <c r="H312" s="211"/>
      <c r="I312" s="211"/>
      <c r="J312" s="211"/>
      <c r="K312" s="10"/>
    </row>
    <row r="313" spans="1:17" ht="21.75" hidden="1" customHeight="1" x14ac:dyDescent="0.35">
      <c r="D313" s="375" t="s">
        <v>139</v>
      </c>
      <c r="E313" s="375"/>
      <c r="F313" s="375"/>
      <c r="G313" s="81" t="s">
        <v>23</v>
      </c>
      <c r="H313" s="206"/>
      <c r="I313" s="290" t="s">
        <v>151</v>
      </c>
      <c r="J313" s="11"/>
      <c r="O313" s="197" t="str">
        <f>IF(P313=1, "&lt;===", "")</f>
        <v/>
      </c>
      <c r="P313" s="167"/>
      <c r="Q313" s="3"/>
    </row>
    <row r="314" spans="1:17" ht="10.5" hidden="1" customHeight="1" x14ac:dyDescent="0.35">
      <c r="I314" s="211"/>
      <c r="Q314" s="3"/>
    </row>
    <row r="315" spans="1:17" ht="21.75" hidden="1" customHeight="1" x14ac:dyDescent="0.35">
      <c r="C315" s="210"/>
      <c r="D315" s="375" t="s">
        <v>77</v>
      </c>
      <c r="E315" s="375"/>
      <c r="F315" s="376"/>
      <c r="G315" s="81" t="s">
        <v>23</v>
      </c>
      <c r="H315" s="206"/>
      <c r="I315" s="211"/>
      <c r="J315" s="11"/>
      <c r="O315" s="197" t="str">
        <f>IF(P315=1,"&lt;===", "")</f>
        <v/>
      </c>
      <c r="P315" s="167"/>
      <c r="Q315" s="3"/>
    </row>
    <row r="316" spans="1:17" ht="10.5" hidden="1" customHeight="1" x14ac:dyDescent="0.35">
      <c r="I316" s="211"/>
      <c r="Q316" s="3"/>
    </row>
    <row r="317" spans="1:17" ht="21.75" hidden="1" customHeight="1" x14ac:dyDescent="0.35">
      <c r="D317" s="375" t="s">
        <v>78</v>
      </c>
      <c r="E317" s="375"/>
      <c r="F317" s="375"/>
      <c r="G317" s="81" t="s">
        <v>23</v>
      </c>
      <c r="H317" s="206"/>
      <c r="I317" s="211"/>
      <c r="J317" s="11"/>
      <c r="O317" s="197" t="str">
        <f>IF(P317=1,"&lt;===", "")</f>
        <v/>
      </c>
      <c r="P317" s="167"/>
      <c r="Q317" s="3"/>
    </row>
    <row r="318" spans="1:17" ht="27" hidden="1" customHeight="1" x14ac:dyDescent="0.45">
      <c r="I318" s="211"/>
      <c r="J318" s="213"/>
      <c r="O318" s="197" t="str">
        <f>IF(P318=1, "&lt;===", "")</f>
        <v/>
      </c>
      <c r="P318" s="3" t="str">
        <f>IF(AND(I318&gt;100,D411&lt;&gt;""), 1, "")</f>
        <v/>
      </c>
      <c r="Q318" s="3"/>
    </row>
    <row r="319" spans="1:17" ht="21" hidden="1" customHeight="1" x14ac:dyDescent="0.35">
      <c r="B319" s="208" t="s">
        <v>75</v>
      </c>
      <c r="C319" s="509" t="str">
        <f>"What percentage of graduates in "&amp;D4&amp;" enrolled for the award identified?"</f>
        <v>What percentage of graduates in 2023 enrolled for the award identified?</v>
      </c>
      <c r="D319" s="509"/>
      <c r="E319" s="509"/>
      <c r="F319" s="509"/>
      <c r="G319" s="509"/>
      <c r="H319" s="509"/>
      <c r="I319" s="290" t="s">
        <v>152</v>
      </c>
      <c r="J319" s="214"/>
      <c r="K319" s="214"/>
      <c r="L319" s="214"/>
      <c r="M319" s="214"/>
      <c r="N319" s="214"/>
    </row>
    <row r="320" spans="1:17" s="11" customFormat="1" ht="39" hidden="1" customHeight="1" x14ac:dyDescent="0.35">
      <c r="A320" s="158"/>
      <c r="C320" s="217"/>
      <c r="D320" s="377" t="s">
        <v>145</v>
      </c>
      <c r="E320" s="377"/>
      <c r="F320" s="377"/>
      <c r="G320" s="377"/>
      <c r="H320" s="377"/>
      <c r="J320" s="158"/>
      <c r="K320" s="158"/>
      <c r="P320" s="259"/>
    </row>
    <row r="321" spans="1:21" ht="21.75" hidden="1" customHeight="1" x14ac:dyDescent="0.35">
      <c r="C321" s="253"/>
      <c r="D321" s="375" t="s">
        <v>139</v>
      </c>
      <c r="E321" s="375"/>
      <c r="F321" s="375"/>
      <c r="G321" s="212"/>
      <c r="H321" s="206" t="s">
        <v>137</v>
      </c>
      <c r="O321" s="197" t="str">
        <f>IF(P321=1, "&lt;===", "")</f>
        <v/>
      </c>
    </row>
    <row r="322" spans="1:21" ht="10.5" hidden="1" customHeight="1" x14ac:dyDescent="0.35"/>
    <row r="323" spans="1:21" ht="21.75" hidden="1" customHeight="1" x14ac:dyDescent="0.35">
      <c r="C323" s="190"/>
      <c r="D323" s="375" t="s">
        <v>77</v>
      </c>
      <c r="E323" s="375"/>
      <c r="F323" s="376"/>
      <c r="G323" s="212"/>
      <c r="H323" s="206" t="s">
        <v>137</v>
      </c>
      <c r="O323" s="197" t="str">
        <f>IF(P323=1, "&lt;===", "")</f>
        <v/>
      </c>
      <c r="P323" s="259"/>
    </row>
    <row r="324" spans="1:21" ht="10.5" hidden="1" customHeight="1" x14ac:dyDescent="0.35">
      <c r="C324" s="253"/>
      <c r="D324" s="253"/>
      <c r="E324" s="253"/>
      <c r="F324" s="253"/>
      <c r="G324" s="253"/>
      <c r="O324" s="258"/>
      <c r="P324" s="259"/>
    </row>
    <row r="325" spans="1:21" ht="21.75" hidden="1" customHeight="1" x14ac:dyDescent="0.35">
      <c r="C325" s="253"/>
      <c r="D325" s="375" t="s">
        <v>78</v>
      </c>
      <c r="E325" s="375"/>
      <c r="F325" s="375"/>
      <c r="G325" s="212"/>
      <c r="H325" s="206" t="s">
        <v>137</v>
      </c>
      <c r="O325" s="197" t="str">
        <f>IF(P325=1, "&lt;===", "")</f>
        <v/>
      </c>
    </row>
    <row r="326" spans="1:21" ht="9.75" hidden="1" customHeight="1" x14ac:dyDescent="0.35">
      <c r="C326" s="253"/>
      <c r="D326" s="253"/>
      <c r="E326" s="253"/>
      <c r="F326" s="253"/>
      <c r="G326" s="253"/>
    </row>
    <row r="327" spans="1:21" ht="27" hidden="1" customHeight="1" x14ac:dyDescent="0.35">
      <c r="C327" s="253"/>
      <c r="D327" s="210"/>
      <c r="E327" s="210"/>
      <c r="F327" s="210"/>
      <c r="G327" s="260">
        <f>SUM(G321,G323,G325)</f>
        <v>0</v>
      </c>
      <c r="H327" s="261" t="s">
        <v>79</v>
      </c>
      <c r="I327" s="262" t="str">
        <f>IF(G327&gt;100,"
&lt;== Total cannot be greater than 100%","")</f>
        <v/>
      </c>
      <c r="O327" s="197" t="str">
        <f>IF(P327=1, "&lt;===", "")</f>
        <v/>
      </c>
      <c r="P327" s="167" t="str">
        <f>IF(AND(I327&lt;&gt;"",D411&lt;&gt;""), 1, "")</f>
        <v/>
      </c>
    </row>
    <row r="328" spans="1:21" ht="130.5" customHeight="1" x14ac:dyDescent="0.35">
      <c r="B328" s="378" t="str">
        <f>"AS PART OF AN ON-GOING RESEARCH PROJECT TO BETTER UNDERSTAND THE CHARACTERISTICS OF PARAMEDIC PROGRAMS AND ASSESS "&amp;"THE STATUS AND NATURE OF DISTANCE EDUCATION USED BY PARAMEDIC EDUCATIONAL PROGRAMS. PLEASE ANSWER THE FOLLOWING QUESTIONS USING INFORMATION FOR STUDENTS ENROLLED IN YOUR PROGRAM IN THE 2024 CALENDAR YEAR. 
Responses are not linked to the "&amp;D4&amp;" cohort(s) outcomes being reported in the tables above and responses to the following questions will in no way impact the Paramedic program's accreditation status."</f>
        <v>AS PART OF AN ON-GOING RESEARCH PROJECT TO BETTER UNDERSTAND THE CHARACTERISTICS OF PARAMEDIC PROGRAMS AND ASSESS THE STATUS AND NATURE OF DISTANCE EDUCATION USED BY PARAMEDIC EDUCATIONAL PROGRAMS. PLEASE ANSWER THE FOLLOWING QUESTIONS USING INFORMATION FOR STUDENTS ENROLLED IN YOUR PROGRAM IN THE 2024 CALENDAR YEAR. 
Responses are not linked to the 2023 cohort(s) outcomes being reported in the tables above and responses to the following questions will in no way impact the Paramedic program's accreditation status.</v>
      </c>
      <c r="C328" s="379"/>
      <c r="D328" s="379"/>
      <c r="E328" s="379"/>
      <c r="F328" s="379"/>
      <c r="G328" s="379"/>
      <c r="H328" s="379"/>
      <c r="I328" s="379"/>
      <c r="J328" s="379"/>
      <c r="K328" s="379"/>
      <c r="L328" s="379"/>
      <c r="M328" s="379"/>
      <c r="N328" s="379"/>
    </row>
    <row r="329" spans="1:21" ht="21.75" customHeight="1" x14ac:dyDescent="0.35">
      <c r="B329" s="10"/>
      <c r="C329" s="10"/>
      <c r="D329" s="10"/>
      <c r="E329" s="10"/>
      <c r="F329" s="10"/>
      <c r="G329" s="10"/>
      <c r="H329" s="10"/>
      <c r="I329" s="10"/>
      <c r="J329" s="10"/>
      <c r="K329" s="10"/>
      <c r="L329" s="10"/>
      <c r="M329" s="10"/>
      <c r="N329" s="10"/>
    </row>
    <row r="330" spans="1:21" ht="33" customHeight="1" x14ac:dyDescent="0.35">
      <c r="B330" s="207" t="str">
        <f>IF(G330="Yes","6","")</f>
        <v>6</v>
      </c>
      <c r="C330" s="346" t="s">
        <v>156</v>
      </c>
      <c r="D330" s="346"/>
      <c r="E330" s="346"/>
      <c r="F330" s="346"/>
      <c r="G330" s="327" t="s">
        <v>162</v>
      </c>
      <c r="O330" s="197" t="str">
        <f>IF(P330=1, "&lt;===", "")</f>
        <v/>
      </c>
      <c r="P330" s="167" t="str">
        <f>IF(AND(G330="Please Select",D411&lt;&gt;""),1,"")</f>
        <v/>
      </c>
    </row>
    <row r="331" spans="1:21" ht="12" customHeight="1" x14ac:dyDescent="0.35">
      <c r="H331" s="211"/>
      <c r="I331" s="211"/>
      <c r="J331" s="211"/>
      <c r="K331" s="10"/>
    </row>
    <row r="332" spans="1:21" ht="42.75" customHeight="1" x14ac:dyDescent="0.35">
      <c r="B332" s="306" t="str">
        <f>IF(G330="Yes","7","")</f>
        <v>7</v>
      </c>
      <c r="C332" s="346" t="str">
        <f>IF(B332&lt;&gt;"","How many cohorts did the program enroll?","")</f>
        <v>How many cohorts did the program enroll?</v>
      </c>
      <c r="D332" s="346"/>
      <c r="E332" s="346"/>
      <c r="F332" s="346"/>
      <c r="G332" s="300">
        <v>2</v>
      </c>
      <c r="O332" s="197" t="str">
        <f>IF(P332=1, "&lt;===", "")</f>
        <v/>
      </c>
      <c r="P332" s="167" t="str">
        <f>IF(AND(G330="Yes",G332="Please Select",D411&lt;&gt;""),1,"")</f>
        <v/>
      </c>
    </row>
    <row r="333" spans="1:21" ht="14.25" customHeight="1" x14ac:dyDescent="0.35">
      <c r="H333" s="211"/>
      <c r="I333" s="211"/>
      <c r="J333" s="211"/>
      <c r="K333" s="10"/>
    </row>
    <row r="334" spans="1:21" ht="65.25" customHeight="1" x14ac:dyDescent="0.35">
      <c r="B334" s="207" t="str">
        <f>IF(AND(G330="Yes",G332&lt;&gt;"Please Select",G332&gt;=1),"8","")</f>
        <v>8</v>
      </c>
      <c r="C334" s="344" t="str">
        <f>IF(AND(G330="Yes",G332&lt;&gt;"Please Select",G332&gt;=1),"What percentage of your program's 2024 Paramedic didactic curriculum (not including clinical, field experience, or capstone field internship)  was:","")</f>
        <v>What percentage of your program's 2024 Paramedic didactic curriculum (not including clinical, field experience, or capstone field internship)  was:</v>
      </c>
      <c r="D334" s="344"/>
      <c r="E334" s="344"/>
      <c r="F334" s="344"/>
      <c r="I334" s="10"/>
      <c r="J334" s="381" t="str">
        <f>IF(P334=1,"All cohorts listed below must contain a full onsite and blended delivery percentage number which totals 100 when combined.  Blank cells/boxes are not the same as a zero.","")</f>
        <v/>
      </c>
      <c r="K334" s="381"/>
      <c r="L334" s="381"/>
      <c r="M334" s="381"/>
      <c r="O334" s="197" t="str">
        <f>IF(P334=1, "&lt;===", "")</f>
        <v/>
      </c>
      <c r="P334" s="167" t="str">
        <f>IF(U340=1,1,"")</f>
        <v/>
      </c>
    </row>
    <row r="335" spans="1:21" s="11" customFormat="1" ht="149.25" customHeight="1" x14ac:dyDescent="0.35">
      <c r="A335" s="158"/>
      <c r="C335" s="348" t="str">
        <f>IF(G330="No","The program has reported no students were enrolled in the 2024 calendar year.  
Please scroll down to finish completing the Annual Report.",IF(G330="Please Select","",IF(AND(G330="Yes",G332&lt;&gt;"Please Select",G332&gt;=1),"Please note:      Provide "&amp;"the full onsite and blended distance education percentage for each cohort."&amp;"
                                Percentage boxes below must contain a number, should not be left blank,"&amp;" and each cohort must 
                                total 100 but cannot exceed it when combined.  "&amp;"
                                Sharing supplemental material, submitting homework assignments, or taking exams using a 
                                learning management system (LMS) is "&amp;"NOT considered blended (hybrid) distance education 
                                delivery.","")))</f>
        <v>Please note:      Provide the full onsite and blended distance education percentage for each cohort.
                                Percentage boxes below must contain a number, should not be left blank, and each cohort must 
                                total 100 but cannot exceed it when combined.  
                                Sharing supplemental material, submitting homework assignments, or taking exams using a 
                                learning management system (LMS) is NOT considered blended (hybrid) distance education 
                                delivery.</v>
      </c>
      <c r="D335" s="348"/>
      <c r="E335" s="348"/>
      <c r="F335" s="348"/>
      <c r="G335" s="348"/>
      <c r="H335" s="348"/>
      <c r="I335" s="348"/>
      <c r="J335" s="381"/>
      <c r="K335" s="381"/>
      <c r="L335" s="381"/>
      <c r="M335" s="381"/>
      <c r="P335" s="258"/>
    </row>
    <row r="336" spans="1:21" ht="32.25" customHeight="1" x14ac:dyDescent="0.35">
      <c r="B336" s="9"/>
      <c r="C336" s="335"/>
      <c r="D336" s="335"/>
      <c r="E336" s="336" t="str">
        <f>IF(AND(G330="Yes",G332&lt;&gt;"Please Select",G332&gt;=1),"Cohort 1","")</f>
        <v>Cohort 1</v>
      </c>
      <c r="F336" s="336" t="str">
        <f>IF(AND(G330="Yes",G332&lt;&gt;"Please Select",G332&gt;=2),"Cohort 2","")</f>
        <v>Cohort 2</v>
      </c>
      <c r="G336" s="336" t="str">
        <f>IF(AND(G330="Yes",G332&lt;&gt;"Please Select",G332&gt;=3),"Cohort 3","")</f>
        <v/>
      </c>
      <c r="H336" s="336" t="str">
        <f>IF(AND(G330="Yes",G332&lt;&gt;"Please Select",G332&gt;=4),"Cohort 4","")</f>
        <v/>
      </c>
      <c r="I336" s="336" t="str">
        <f>IF(AND(G330="Yes",G332&lt;&gt;"Please Select",G332&gt;=5),"Cohort 5","")</f>
        <v/>
      </c>
      <c r="J336" s="336" t="str">
        <f>IF(AND(G330="Yes",G332&lt;&gt;"Please Select",G332&gt;=6),"Cohort 6","")</f>
        <v/>
      </c>
      <c r="K336" s="336" t="str">
        <f>IF(AND(G330="Yes",G332&lt;&gt;"Please Select",G332&gt;=7),"Cohort 7","")</f>
        <v/>
      </c>
      <c r="L336" s="336" t="str">
        <f>IF(AND(G330="Yes",G332&lt;&gt;"Please Select",G332&gt;=8),"Cohort 8","")</f>
        <v/>
      </c>
      <c r="M336" s="336" t="str">
        <f>IF(AND(G330="Yes",G332&lt;&gt;"Please Select",G332&gt;=9),"Cohort 9","")</f>
        <v/>
      </c>
      <c r="N336" s="336" t="str">
        <f>IF(AND(G330="Yes",G332&lt;&gt;"Please Select",G332&gt;=10),"Cohort 10","")</f>
        <v/>
      </c>
      <c r="O336" s="336" t="str">
        <f>IF(AND(G330="Yes",G332&lt;&gt;"Please Select",G332&gt;=11),"Cohort 11","")</f>
        <v/>
      </c>
      <c r="P336" s="336" t="str">
        <f>IF(AND(G330="Yes",G332&lt;&gt;"Please Select",G332&gt;=12),"Cohort 12","")</f>
        <v/>
      </c>
      <c r="Q336" s="336" t="str">
        <f>IF(AND(G330="Yes",G332&lt;&gt;"Please Select",G332&gt;=13),"Cohort 13","")</f>
        <v/>
      </c>
      <c r="R336" s="336" t="str">
        <f>IF(AND(G330="Yes",G332&lt;&gt;"Please Select",G332&gt;=14),"Cohort 14","")</f>
        <v/>
      </c>
      <c r="S336" s="336" t="str">
        <f>IF(AND(G330="Yes",G332&lt;&gt;"Please Select",G332&gt;=15),"Cohort 15","")</f>
        <v/>
      </c>
      <c r="T336" s="336"/>
      <c r="U336" s="336"/>
    </row>
    <row r="337" spans="2:21" ht="108.75" customHeight="1" x14ac:dyDescent="0.35">
      <c r="C337" s="346" t="str">
        <f>IF(AND(G330="Yes",G332&lt;&gt;"Please Select",G332&gt;=1),"Full Onsite (In-Person) Delivery
(The method of delivery that ALL didactic and laboratory instruction is provided at an approved location, on or off campus, where instructors and students interact simultaneously in the same physical location.)","")</f>
        <v>Full Onsite (In-Person) Delivery
(The method of delivery that ALL didactic and laboratory instruction is provided at an approved location, on or off campus, where instructors and students interact simultaneously in the same physical location.)</v>
      </c>
      <c r="D337" s="346"/>
      <c r="E337" s="338"/>
      <c r="F337" s="338"/>
      <c r="G337" s="337"/>
      <c r="H337" s="338"/>
      <c r="I337" s="338"/>
      <c r="J337" s="338"/>
      <c r="K337" s="338"/>
      <c r="L337" s="338"/>
      <c r="M337" s="338"/>
      <c r="N337" s="338"/>
      <c r="O337" s="338"/>
      <c r="P337" s="338"/>
      <c r="Q337" s="338"/>
      <c r="R337" s="338"/>
      <c r="S337" s="338"/>
    </row>
    <row r="338" spans="2:21" ht="17.25" customHeight="1" x14ac:dyDescent="0.35">
      <c r="B338" s="206"/>
      <c r="C338" s="334" t="str">
        <f>IF(AND(G330="Yes",C335&lt;&gt;""),"  &lt;=== hover cursor for definitions","")</f>
        <v xml:space="preserve">  &lt;=== hover cursor for definitions</v>
      </c>
      <c r="P338" s="332"/>
    </row>
    <row r="339" spans="2:21" ht="99.75" customHeight="1" x14ac:dyDescent="0.35">
      <c r="C339" s="346" t="str">
        <f>IF(AND(G330="Yes",G332&lt;&gt;"Please Select",G332&gt;=1),"Blended (Hybrid) Distance Education Delivery
(The method of delivery in which all didactic and laboratory instruction is provided using a combination of onsite (in-person) and distance education instruction which may be synchronous or asynchronous.)","")</f>
        <v>Blended (Hybrid) Distance Education Delivery
(The method of delivery in which all didactic and laboratory instruction is provided using a combination of onsite (in-person) and distance education instruction which may be synchronous or asynchronous.)</v>
      </c>
      <c r="D339" s="346"/>
      <c r="E339" s="340"/>
      <c r="F339" s="340"/>
      <c r="G339" s="338"/>
      <c r="H339" s="340"/>
      <c r="I339" s="340"/>
      <c r="J339" s="340"/>
      <c r="K339" s="340"/>
      <c r="L339" s="340"/>
      <c r="M339" s="340"/>
      <c r="N339" s="340"/>
      <c r="O339" s="340"/>
      <c r="P339" s="340"/>
      <c r="Q339" s="340"/>
      <c r="R339" s="340"/>
      <c r="S339" s="340"/>
    </row>
    <row r="340" spans="2:21" ht="51" customHeight="1" x14ac:dyDescent="0.35">
      <c r="C340" s="334"/>
      <c r="D340" s="339" t="str">
        <f>IF(AND(G330="Yes",G332&gt;=1,C335&lt;&gt;""),"Percentage Total ==&gt;
     (per cohort)","")</f>
        <v>Percentage Total ==&gt;
     (per cohort)</v>
      </c>
      <c r="E340" s="326">
        <f>IF(AND($G$330="Yes",$G$332&gt;=1,$C$335&lt;&gt;""),SUM(E$337,E$339),"")</f>
        <v>0</v>
      </c>
      <c r="F340" s="326">
        <f>IF(AND($G$330="Yes",$G$332&gt;=2,$C$335&lt;&gt;""),SUM(F$337,F$339),"")</f>
        <v>0</v>
      </c>
      <c r="G340" s="326" t="str">
        <f>IF(AND($G$330="Yes",$G$332&gt;=3,$C$335&lt;&gt;""),SUM(G$337,G$339),"")</f>
        <v/>
      </c>
      <c r="H340" s="326" t="str">
        <f>IF(AND($G$330="Yes",$G$332&gt;=4,$C$335&lt;&gt;""),SUM(H$337,H$339),"")</f>
        <v/>
      </c>
      <c r="I340" s="326" t="str">
        <f>IF(AND($G$330="Yes",$G$332&gt;=5,$C$335&lt;&gt;""),SUM(I$337,I$339),"")</f>
        <v/>
      </c>
      <c r="J340" s="326" t="str">
        <f>IF(AND($G$330="Yes",$G$332&gt;=6,$C$335&lt;&gt;""),SUM(J$337,J$339),"")</f>
        <v/>
      </c>
      <c r="K340" s="326" t="str">
        <f>IF(AND($G$330="Yes",$G$332&gt;=7,$C$335&lt;&gt;""),SUM(K$337,K$339),"")</f>
        <v/>
      </c>
      <c r="L340" s="326" t="str">
        <f>IF(AND($G$330="Yes",$G$332&gt;=8,$C$335&lt;&gt;""),SUM(L$337,L$339),"")</f>
        <v/>
      </c>
      <c r="M340" s="326" t="str">
        <f>IF(AND($G$330="Yes",$G$332&gt;=9,$C$335&lt;&gt;""),SUM(M$337,M$339),"")</f>
        <v/>
      </c>
      <c r="N340" s="326" t="str">
        <f>IF(AND($G$330="Yes",$G$332&gt;=10,$C$335&lt;&gt;""),SUM(N$337,N$339),"")</f>
        <v/>
      </c>
      <c r="O340" s="326" t="str">
        <f>IF(AND($G$330="Yes",$G$332&gt;=11,$C$335&lt;&gt;""),SUM(O$337,O$339),"")</f>
        <v/>
      </c>
      <c r="P340" s="326" t="str">
        <f>IF(AND($G$330="Yes",$G$332&gt;=12,$C$335&lt;&gt;""),SUM(P$337,P$339),"")</f>
        <v/>
      </c>
      <c r="Q340" s="326" t="str">
        <f>IF(AND($G$330="Yes",$G$332&gt;=13,$C$335&lt;&gt;""),SUM(Q$337,Q$339),"")</f>
        <v/>
      </c>
      <c r="R340" s="326" t="str">
        <f>IF(AND($G$330="Yes",$G$332&gt;=14,$C$335&lt;&gt;""),SUM(R$337,R$339),"")</f>
        <v/>
      </c>
      <c r="S340" s="326" t="str">
        <f>IF(AND($G$330="Yes",$G$332&gt;=15,$C$335&lt;&gt;""),SUM(S$337,S$339),"")</f>
        <v/>
      </c>
      <c r="U340" s="341" t="str">
        <f>IF(OR(AND(G330="Yes",G332&gt;=1,G332&lt;&gt;"Please Select",D411&lt;&gt;"",E340&lt;&gt;100),AND(G330="Yes",G332&gt;=2,G332&lt;&gt;"Please Select",D411&lt;&gt;"",F340&lt;&gt;100),AND(G330="Yes",G332&gt;=3,G332&lt;&gt;"Please Select",D411&lt;&gt;"",G340&lt;&gt;100),AND(G330="Yes",G332&gt;=4,G332&lt;&gt;"Please Select",D411&lt;&gt;"",H340&lt;&gt;100),AND(G330="Yes",G332&gt;=5,G332&lt;&gt;"Please Select",D411&lt;&gt;"",I340&lt;&gt;100),AND(G330="Yes",G332&gt;=6,G332&lt;&gt;"Please Select",D411&lt;&gt;"",J340&lt;&gt;100),AND(G330="Yes",G332&gt;=7,G332&lt;&gt;"Please Select",D411&lt;&gt;"",K340&lt;&gt;100),AND(G330="Yes",G332&gt;=8,G332&lt;&gt;"Please Select",D411&lt;&gt;"",L340&lt;&gt;100),AND(G330="Yes",G332&gt;=9,G332&lt;&gt;"Please Select",D411&lt;&gt;"",M340&lt;&gt;100),AND(G330="Yes",G332&gt;=10,G332&lt;&gt;"Please Select",D411&lt;&gt;"",N340&lt;&gt;100),AND(G330="Yes",G332&gt;=11,G332&lt;&gt;"Please Select",D411&lt;&gt;"",O340&lt;&gt;100),AND(G330="Yes",G332&gt;=12,G332&lt;&gt;"Please Select",D411&lt;&gt;"",P340&lt;&gt;100),AND(G330="Yes",G332&gt;=13,G332&lt;&gt;"Please Select",D411&lt;&gt;"",Q340&lt;&gt;100),AND(G330="Yes",G332&gt;=14,G332&lt;&gt;"Please Select",D411&lt;&gt;"",R340&lt;&gt;100),AND(G330="Yes",G332&gt;=15,G332&lt;&gt;"Please Select",D411&lt;&gt;"",S340&lt;&gt;100)),1,"")</f>
        <v/>
      </c>
    </row>
    <row r="341" spans="2:21" ht="45.75" customHeight="1" x14ac:dyDescent="0.35">
      <c r="B341" s="9"/>
      <c r="C341" s="568" t="str">
        <f>IF(AND(G330&lt;&gt;"Please Select",G332&lt;&gt;"Please Select",G341="",B343=""),"Please scroll down to complete the report","")</f>
        <v/>
      </c>
      <c r="D341" s="568"/>
      <c r="E341" s="167">
        <f>IF(OR(E342=1,F342=1,G342=1,H342=1,I342=1,J342=1,K342=1,L342=1,M342=1,N342=1,O342=1,P342=1,Q342=1,R342=1,S342=1),1,"")</f>
        <v>1</v>
      </c>
      <c r="F341" s="335"/>
      <c r="G341" s="567" t="str">
        <f>IF(OR(AND(E337&lt;&gt;"",E339&lt;&gt;"",E340&gt;100),AND(F337&lt;&gt;"",F339&lt;&gt;"",F340&gt;100),AND(G337&lt;&gt;"",G339&lt;&gt;"",G340&gt;100),AND(H337&lt;&gt;"",H339&lt;&gt;"",H340&gt;100),AND(I337&lt;&gt;"",I339&lt;&gt;"",I340&gt;100),AND(J337&lt;&gt;"",J339&lt;&gt;"",J340&gt;100),AND(K337&lt;&gt;"",K339&lt;&gt;"",K340&gt;100),AND(L337&lt;&gt;"",L339&lt;&gt;"",L340&gt;100),AND(M337&lt;&gt;"",M339&lt;&gt;"",M340&gt;100),AND(N337&lt;&gt;"",N339&lt;&gt;"",N340&gt;100),AND(O337&lt;&gt;"",O339&lt;&gt;"",O340&gt;100),AND(P337&lt;&gt;"",P339&lt;&gt;"",P340&gt;100),AND(Q337&lt;&gt;"",Q339&lt;&gt;"",Q340&gt;100),AND(R337&lt;&gt;"",R339&lt;&gt;"",R340&gt;100),AND(S337&lt;&gt;"",S339&lt;&gt;"",S340&gt;100)),"Percentage Total cannot be greater than 100 for any of the cohorts listed above",IF(OR(AND(E337&lt;&gt;"",E339&lt;&gt;"",E340&lt;100),AND(F337&lt;&gt;"",F339&lt;&gt;"",F340&lt;100),AND(G337&lt;&gt;"",G339&lt;&gt;"",G340&lt;100),AND(H337&lt;&gt;"",H339&lt;&gt;"",H340&lt;100),AND(I337&lt;&gt;"",I339&lt;&gt;"",I340&lt;100),AND(J337&lt;&gt;"",J339&lt;&gt;"",J340&lt;100),AND(K337&lt;&gt;"",K339&lt;&gt;"",K340&lt;100),AND(L337&lt;&gt;"",L339&lt;&gt;"",L340&lt;100),AND(M337&lt;&gt;"",M339&lt;&gt;"",M340&lt;100),AND(N337&lt;&gt;"",N339&lt;&gt;"",N340&lt;100),AND(O337&lt;&gt;"",O339&lt;&gt;"",O340&lt;100),AND(P337&lt;&gt;"",P339&lt;&gt;"",P340&lt;100),AND(Q337&lt;&gt;"",Q339&lt;&gt;"",Q340&lt;100),AND(R337&lt;&gt;"",R339&lt;&gt;"",R340&lt;100),AND(S337&lt;&gt;"",S339&lt;&gt;"",S340&lt;100)),"Percentage Total cannot be less than 100 for any of the cohorts listed above",IF(OR(AND(E337&lt;&gt;"",E339="",E340&lt;=100),AND(F337&lt;&gt;"",F339="",F340&lt;=100),AND(G337&lt;&gt;"",G339="",G340&lt;=100),AND(H337&lt;&gt;"",H339="",H340&lt;=100),AND(I337&lt;&gt;"",I339="",I340&lt;=100),AND(J337&lt;&gt;"",J339="",J340&lt;=100),AND(K337&lt;&gt;"",K339="",K340&lt;=100),AND(L337&lt;&gt;"",L339="",L340&lt;=100),AND(M337&lt;&gt;"",M339="",M340&lt;=100),AND(N337&lt;&gt;"",N339="",N340&lt;=100),AND(O337&lt;&gt;"",O339="",O340&lt;=100),AND(P337&lt;&gt;"",P339="",P340&lt;=100),AND(Q337&lt;&gt;"",Q339="",Q340&lt;=100),AND(R337&lt;&gt;"",R339="",R340&lt;=100),AND(S337&lt;&gt;"",S339="",S340&lt;=100)),"The Blended (Hybrid) box cannot be left blank and the 
Percentage Total must equal 100 for each cohort listed above",IF(OR(AND(E337="",E339&lt;&gt;"",E340&gt;=100),AND(F337="",F339&lt;&gt;"",F340&gt;=100),AND(G337="",G339&lt;&gt;"",G340&gt;=100),AND(H337="",H339&lt;&gt;"",H340&gt;=100),AND(I337="",I339&lt;&gt;"",I340&gt;=100),AND(J337="",J339&lt;&gt;"",J340&gt;=100),AND(K337="",K339&lt;&gt;"",K340&gt;=100),AND(L337="",L339&lt;&gt;"",L340&gt;=100),AND(M337="",M339&lt;&gt;"",M340&gt;=100),AND(N337="",N339&lt;&gt;"",N340&gt;=100),AND(O337="",O339&lt;&gt;"",O340&gt;=100),AND(P337="",P339&lt;&gt;"",P340&gt;=100),AND(Q337="",Q339&lt;&gt;"",Q340&gt;=100),AND(R337="",R339&lt;&gt;"",R340&gt;=100),AND(S337="",S339&lt;&gt;"",S340&gt;=100)),"The Full Onsite box cannot be left blank and the 
Percentage Total must equal 100 for each cohort listed above",IF(E341=1,"Please provide a percentage number for full onsite delivery and blended delivery in each of the colored cells/boxes above.  Blank cells/boxes are not the same as a zero.","")))))</f>
        <v>Please provide a percentage number for full onsite delivery and blended delivery in each of the colored cells/boxes above.  Blank cells/boxes are not the same as a zero.</v>
      </c>
      <c r="H341" s="567"/>
      <c r="I341" s="567"/>
      <c r="J341" s="567"/>
      <c r="K341" s="567"/>
      <c r="L341" s="567"/>
      <c r="M341" s="567"/>
      <c r="N341" s="567"/>
      <c r="O341" s="567"/>
      <c r="P341" s="567"/>
    </row>
    <row r="342" spans="2:21" ht="23.25" customHeight="1" x14ac:dyDescent="0.35">
      <c r="C342" s="568"/>
      <c r="D342" s="568"/>
      <c r="E342" s="167">
        <f>IF(AND(E336&lt;&gt;"",OR(E337="",E339="")),1,"")</f>
        <v>1</v>
      </c>
      <c r="F342" s="167">
        <f t="shared" ref="F342:S342" si="27">IF(AND(F336&lt;&gt;"",OR(F337="",F339="")),1,"")</f>
        <v>1</v>
      </c>
      <c r="G342" s="167" t="str">
        <f t="shared" si="27"/>
        <v/>
      </c>
      <c r="H342" s="167" t="str">
        <f t="shared" si="27"/>
        <v/>
      </c>
      <c r="I342" s="167" t="str">
        <f t="shared" si="27"/>
        <v/>
      </c>
      <c r="J342" s="167" t="str">
        <f t="shared" si="27"/>
        <v/>
      </c>
      <c r="K342" s="167" t="str">
        <f t="shared" si="27"/>
        <v/>
      </c>
      <c r="L342" s="167" t="str">
        <f t="shared" si="27"/>
        <v/>
      </c>
      <c r="M342" s="167" t="str">
        <f t="shared" si="27"/>
        <v/>
      </c>
      <c r="N342" s="167" t="str">
        <f t="shared" si="27"/>
        <v/>
      </c>
      <c r="O342" s="167" t="str">
        <f t="shared" si="27"/>
        <v/>
      </c>
      <c r="P342" s="167" t="str">
        <f t="shared" si="27"/>
        <v/>
      </c>
      <c r="Q342" s="167" t="str">
        <f t="shared" si="27"/>
        <v/>
      </c>
      <c r="R342" s="167" t="str">
        <f t="shared" si="27"/>
        <v/>
      </c>
      <c r="S342" s="167" t="str">
        <f t="shared" si="27"/>
        <v/>
      </c>
    </row>
    <row r="343" spans="2:21" ht="72.75" customHeight="1" x14ac:dyDescent="0.35">
      <c r="B343" s="257" t="str">
        <f>IF(OR(AND(G330="Yes",E336&lt;&gt;"",G341="",E337&lt;&gt;100),AND(G330="Yes",F336&lt;&gt;"",G341="",F337&lt;&gt;100),AND(G330="Yes",G336&lt;&gt;"",G341="",G337&lt;&gt;100),AND(G330="Yes",H336&lt;&gt;"",G341="",H337&lt;&gt;100),AND(G330="Yes",I336&lt;&gt;"",G341="",I337&lt;&gt;100),AND(G330="Yes",J336&lt;&gt;"",G341="",J337&lt;&gt;100),AND(G330="Yes",K336&lt;&gt;"",G341="",K337&lt;&gt;100),AND(G330="Yes",L336&lt;&gt;"",G341="",L337&lt;&gt;100),AND(G330="Yes",M336&lt;&gt;"",G341="",M337&lt;&gt;100),AND(G330="Yes",N336&lt;&gt;"",G341="",N337&lt;&gt;100),AND(G330="Yes",O336&lt;&gt;"",G341="",O337&lt;&gt;100),AND(G330="Yes",P336&lt;&gt;"",G341="",P337&lt;&gt;100),AND(G330="Yes",Q336&lt;&gt;"",G341="",Q337&lt;&gt;100),AND(G330="Yes",R336&lt;&gt;"",G341="",R337&lt;&gt;100),AND(G330="Yes",S336&lt;&gt;"",G341="",S337&lt;&gt;100)),"9","")</f>
        <v/>
      </c>
      <c r="C343" s="346" t="str">
        <f>IF(B343&lt;&gt;"","For blended (hybrid) distance education delivery is the content:
    Asynchronous (Students engage with the educational content 
    on their own schedule without live interaction 
    with the instructor.)","")</f>
        <v/>
      </c>
      <c r="D343" s="346"/>
      <c r="E343" s="346"/>
      <c r="F343" s="346"/>
      <c r="G343" s="300" t="s">
        <v>23</v>
      </c>
      <c r="O343" s="197" t="str">
        <f>IF(P343=1, "&lt;===", "")</f>
        <v/>
      </c>
      <c r="P343" s="167" t="str">
        <f>IF(AND(G330="Yes",B343&lt;&gt;"",G343="Please Select",D411&lt;&gt;""),1,"")</f>
        <v/>
      </c>
    </row>
    <row r="344" spans="2:21" ht="5.25" customHeight="1" x14ac:dyDescent="0.35">
      <c r="H344" s="211"/>
      <c r="I344" s="211"/>
      <c r="J344" s="211"/>
      <c r="K344" s="10"/>
    </row>
    <row r="345" spans="2:21" ht="36.75" customHeight="1" x14ac:dyDescent="0.35">
      <c r="B345" s="306"/>
      <c r="C345" s="346" t="str">
        <f>IF(B343&lt;&gt;"","    Synchronous (Students and instructors are engaged with educational 
    content at the same time online with ability for live interaction.)","")</f>
        <v/>
      </c>
      <c r="D345" s="346"/>
      <c r="E345" s="346"/>
      <c r="F345" s="346"/>
      <c r="O345" s="197"/>
      <c r="P345" s="167"/>
    </row>
    <row r="346" spans="2:21" ht="9" customHeight="1" x14ac:dyDescent="0.35">
      <c r="H346" s="211"/>
      <c r="I346" s="211"/>
      <c r="J346" s="211"/>
      <c r="K346" s="10"/>
    </row>
    <row r="347" spans="2:21" ht="52.5" customHeight="1" x14ac:dyDescent="0.35">
      <c r="B347" s="306"/>
      <c r="C347" s="346" t="str">
        <f>IF(OR(AND(B343&lt;&gt;"",G343="Asynchronous"),AND(B343&lt;&gt;"",G343="Both")),"For asynchronous distance education which best describes how 
often an instructor has direct interaction with each student:","")</f>
        <v/>
      </c>
      <c r="D347" s="346"/>
      <c r="E347" s="346"/>
      <c r="F347" s="346"/>
      <c r="G347" s="300" t="s">
        <v>23</v>
      </c>
      <c r="O347" s="197" t="str">
        <f>IF(P347=1, "&lt;===", "")</f>
        <v/>
      </c>
      <c r="P347" s="167" t="str">
        <f>IF(OR(AND(G330="Yes",G343="Asynchronous",G347="Please Select",D411&lt;&gt;""),AND(G330="Yes",G343="Both",G347="Please Select",D411&lt;&gt;"")),1,"")</f>
        <v/>
      </c>
    </row>
    <row r="348" spans="2:21" ht="14.25" customHeight="1" x14ac:dyDescent="0.35">
      <c r="H348" s="211"/>
      <c r="I348" s="211"/>
      <c r="J348" s="211"/>
      <c r="K348" s="10"/>
    </row>
    <row r="349" spans="2:21" ht="14.25" customHeight="1" x14ac:dyDescent="0.35">
      <c r="C349" s="246"/>
      <c r="D349" s="246"/>
      <c r="E349" s="246"/>
      <c r="F349" s="246"/>
      <c r="G349" s="246"/>
    </row>
    <row r="350" spans="2:21" ht="39.75" customHeight="1" x14ac:dyDescent="0.35">
      <c r="B350" s="208" t="str">
        <f>IF(B343&lt;&gt;"","10","")</f>
        <v/>
      </c>
      <c r="C350" s="349" t="str">
        <f>IF(B343&lt;&gt;"","If both full on-site (in-person) and blended distance learning formats 
are offered, do you monitor and compare student outcomes?","")</f>
        <v/>
      </c>
      <c r="D350" s="349"/>
      <c r="E350" s="349"/>
      <c r="F350" s="349"/>
      <c r="G350" s="322" t="s">
        <v>23</v>
      </c>
      <c r="O350" s="197" t="str">
        <f>IF(P350=1, "&lt;===", "")</f>
        <v/>
      </c>
      <c r="P350" s="167" t="str">
        <f>IF(AND(G330="Yes",B343&lt;&gt;"",G350="Please Select",D411&lt;&gt;""),1,"")</f>
        <v/>
      </c>
    </row>
    <row r="351" spans="2:21" ht="14.25" customHeight="1" x14ac:dyDescent="0.35">
      <c r="C351" s="347"/>
      <c r="D351" s="347"/>
      <c r="E351" s="347"/>
      <c r="F351" s="347"/>
    </row>
    <row r="352" spans="2:21" ht="48.75" customHeight="1" x14ac:dyDescent="0.35">
      <c r="B352" s="208" t="str">
        <f>IF(B343&lt;&gt;"","11","")</f>
        <v/>
      </c>
      <c r="C352" s="349" t="str">
        <f>IF(B343&lt;&gt;"","If both full on-site (in-person) and blended distance learning formats 
are offered, is attrition from the blended learning format cohort(s) higher, lower, or equal?","")</f>
        <v/>
      </c>
      <c r="D352" s="349"/>
      <c r="E352" s="349"/>
      <c r="F352" s="349"/>
      <c r="G352" s="322" t="s">
        <v>23</v>
      </c>
      <c r="O352" s="197" t="str">
        <f>IF(P352=1, "&lt;===", "")</f>
        <v/>
      </c>
      <c r="P352" s="167" t="str">
        <f>IF(AND(G330="Yes",B343&lt;&gt;"",G352="Please Select",D411&lt;&gt;""),1,"")</f>
        <v/>
      </c>
    </row>
    <row r="353" spans="2:17" ht="14.25" customHeight="1" x14ac:dyDescent="0.35">
      <c r="C353" s="347"/>
      <c r="D353" s="347"/>
      <c r="E353" s="347"/>
      <c r="F353" s="347"/>
    </row>
    <row r="354" spans="2:17" ht="42.75" customHeight="1" x14ac:dyDescent="0.35">
      <c r="B354" s="306" t="str">
        <f>IF(B343&lt;&gt;"","12","")</f>
        <v/>
      </c>
      <c r="C354" s="346" t="str">
        <f>IF(B343&lt;&gt;"","Does your State Office of EMS specifically require approval of blended distance learning delivery?","")</f>
        <v/>
      </c>
      <c r="D354" s="346"/>
      <c r="E354" s="346"/>
      <c r="F354" s="346"/>
      <c r="G354" s="300" t="s">
        <v>23</v>
      </c>
      <c r="O354" s="197" t="str">
        <f>IF(P354=1, "&lt;===", "")</f>
        <v/>
      </c>
      <c r="P354" s="167" t="str">
        <f>IF(AND(G330="Yes",B343&lt;&gt;"",G354="Please Select",D411&lt;&gt;""),1,"")</f>
        <v/>
      </c>
    </row>
    <row r="355" spans="2:17" ht="14.25" customHeight="1" x14ac:dyDescent="0.35">
      <c r="H355" s="211"/>
      <c r="I355" s="211"/>
      <c r="J355" s="211"/>
      <c r="K355" s="10"/>
    </row>
    <row r="356" spans="2:17" ht="51" customHeight="1" x14ac:dyDescent="0.35">
      <c r="B356" s="9" t="str">
        <f>IF(B343&lt;&gt;"","13","")</f>
        <v/>
      </c>
      <c r="C356" s="344" t="str">
        <f>IF(B343&lt;&gt;"","Does your program provide technological resources (including a learning management system [LMS]) for teaching and learning for blended distance learning?","")</f>
        <v/>
      </c>
      <c r="D356" s="344"/>
      <c r="E356" s="344"/>
      <c r="F356" s="344"/>
      <c r="G356" s="300" t="s">
        <v>23</v>
      </c>
      <c r="H356" s="299"/>
      <c r="I356" s="290"/>
      <c r="J356" s="290"/>
      <c r="K356" s="290"/>
      <c r="L356" s="290"/>
      <c r="M356" s="290"/>
      <c r="O356" s="197" t="str">
        <f>IF(P356=1, "&lt;===", "")</f>
        <v/>
      </c>
      <c r="P356" s="167" t="str">
        <f>IF(AND(G330="Yes",B343&lt;&gt;"",G356="Please Select",D411&lt;&gt;""),1,"")</f>
        <v/>
      </c>
      <c r="Q356" s="3"/>
    </row>
    <row r="357" spans="2:17" ht="14.25" customHeight="1" x14ac:dyDescent="0.35">
      <c r="D357" s="188"/>
      <c r="E357" s="188"/>
      <c r="F357" s="188"/>
      <c r="G357" s="206"/>
      <c r="I357" s="290"/>
      <c r="J357" s="290"/>
      <c r="K357" s="290"/>
      <c r="L357" s="290"/>
      <c r="M357" s="290"/>
      <c r="Q357" s="3"/>
    </row>
    <row r="358" spans="2:17" ht="44.25" customHeight="1" x14ac:dyDescent="0.35">
      <c r="B358" s="9" t="str">
        <f>IF(B343&lt;&gt;"","14","")</f>
        <v/>
      </c>
      <c r="C358" s="344" t="str">
        <f>IF(B343&lt;&gt;"","Does the program have technical support for faculty?","")</f>
        <v/>
      </c>
      <c r="D358" s="344"/>
      <c r="E358" s="344"/>
      <c r="F358" s="344"/>
      <c r="G358" s="300" t="s">
        <v>23</v>
      </c>
      <c r="H358" s="206"/>
      <c r="I358" s="290"/>
      <c r="J358" s="290"/>
      <c r="K358" s="290"/>
      <c r="L358" s="290"/>
      <c r="M358" s="290"/>
      <c r="O358" s="197" t="str">
        <f>IF(P358=1, "&lt;===", "")</f>
        <v/>
      </c>
      <c r="P358" s="167" t="str">
        <f>IF(AND(G330="Yes",B343&lt;&gt;"",G358="Please Select",D411&lt;&gt;""),1,"")</f>
        <v/>
      </c>
      <c r="Q358" s="3"/>
    </row>
    <row r="359" spans="2:17" ht="14.25" customHeight="1" x14ac:dyDescent="0.35">
      <c r="D359" s="188"/>
      <c r="E359" s="188"/>
      <c r="F359" s="188"/>
      <c r="G359" s="9"/>
      <c r="I359" s="290"/>
      <c r="J359" s="290"/>
      <c r="K359" s="290"/>
      <c r="L359" s="290"/>
      <c r="M359" s="290"/>
      <c r="Q359" s="3"/>
    </row>
    <row r="360" spans="2:17" ht="31.5" customHeight="1" x14ac:dyDescent="0.35">
      <c r="B360" s="9" t="str">
        <f>IF(B343&lt;&gt;"","15","")</f>
        <v/>
      </c>
      <c r="C360" s="344" t="str">
        <f>IF(B343&lt;&gt;"","Does the program have technical support for students?","")</f>
        <v/>
      </c>
      <c r="D360" s="344"/>
      <c r="E360" s="344"/>
      <c r="F360" s="344"/>
      <c r="G360" s="300" t="s">
        <v>23</v>
      </c>
      <c r="H360" s="206"/>
      <c r="I360" s="290"/>
      <c r="J360" s="290"/>
      <c r="K360" s="290"/>
      <c r="L360" s="290"/>
      <c r="M360" s="290"/>
      <c r="O360" s="197" t="str">
        <f>IF(P360=1, "&lt;===", "")</f>
        <v/>
      </c>
      <c r="P360" s="167" t="str">
        <f>IF(AND(G330="Yes",B343&lt;&gt;"",G360="Please Select",D411&lt;&gt;""),1,"")</f>
        <v/>
      </c>
      <c r="Q360" s="3"/>
    </row>
    <row r="361" spans="2:17" ht="14.25" customHeight="1" x14ac:dyDescent="0.35">
      <c r="C361" s="246"/>
      <c r="D361" s="317"/>
      <c r="E361" s="317"/>
      <c r="F361" s="317"/>
      <c r="G361" s="251"/>
      <c r="I361" s="290"/>
      <c r="J361" s="290"/>
      <c r="K361" s="290"/>
      <c r="L361" s="290"/>
      <c r="M361" s="290"/>
    </row>
    <row r="362" spans="2:17" ht="37.5" customHeight="1" x14ac:dyDescent="0.35">
      <c r="B362" s="306" t="str">
        <f>IF(B343&lt;&gt;"","16","")</f>
        <v/>
      </c>
      <c r="C362" s="346" t="str">
        <f>IF(B343&lt;&gt;"","Do students have access to technical support 24 hours a day?","")</f>
        <v/>
      </c>
      <c r="D362" s="346"/>
      <c r="E362" s="346"/>
      <c r="F362" s="346"/>
      <c r="G362" s="322" t="s">
        <v>23</v>
      </c>
      <c r="O362" s="197" t="str">
        <f>IF(P362=1, "&lt;===", "")</f>
        <v/>
      </c>
      <c r="P362" s="167" t="str">
        <f>IF(AND(C350&lt;&gt;"",G362="Please Select",D411&lt;&gt;""),1,"")</f>
        <v/>
      </c>
    </row>
    <row r="363" spans="2:17" ht="14.25" customHeight="1" x14ac:dyDescent="0.35">
      <c r="H363" s="211"/>
      <c r="I363" s="211"/>
      <c r="J363" s="211"/>
      <c r="K363" s="10"/>
    </row>
    <row r="364" spans="2:17" ht="48.75" customHeight="1" x14ac:dyDescent="0.35">
      <c r="B364" s="306" t="str">
        <f>IF(B343&lt;&gt;"","17","")</f>
        <v/>
      </c>
      <c r="C364" s="346" t="str">
        <f>IF(B343&lt;&gt;"","Does the program have access to instructional design support and/or an experienced individual to develop or assist faculty in development of distance education course(s) content?","")</f>
        <v/>
      </c>
      <c r="D364" s="346"/>
      <c r="E364" s="346"/>
      <c r="F364" s="346"/>
      <c r="G364" s="300" t="s">
        <v>23</v>
      </c>
      <c r="O364" s="197" t="str">
        <f>IF(P364=1, "&lt;===", "")</f>
        <v/>
      </c>
      <c r="P364" s="167" t="str">
        <f>IF(AND(C350&lt;&gt;"",G364="Please Select",D411&lt;&gt;""),1,"")</f>
        <v/>
      </c>
    </row>
    <row r="365" spans="2:17" ht="14.25" customHeight="1" x14ac:dyDescent="0.35">
      <c r="H365" s="211"/>
      <c r="I365" s="211"/>
      <c r="J365" s="211"/>
      <c r="K365" s="10"/>
    </row>
    <row r="366" spans="2:17" ht="33" customHeight="1" x14ac:dyDescent="0.35">
      <c r="B366" s="207" t="str">
        <f>IF(B343&lt;&gt;"","18","")</f>
        <v/>
      </c>
      <c r="C366" s="346" t="str">
        <f>IF(B343&lt;&gt;"","Are students provided with an orientation to the distance education delivery system?","")</f>
        <v/>
      </c>
      <c r="D366" s="346"/>
      <c r="E366" s="346"/>
      <c r="F366" s="346"/>
      <c r="G366" s="322" t="s">
        <v>23</v>
      </c>
      <c r="O366" s="197" t="str">
        <f>IF(P366=1, "&lt;===", "")</f>
        <v/>
      </c>
      <c r="P366" s="167" t="str">
        <f>IF(AND(G330="Yes",B343&lt;&gt;"",G366="Please Select",D411&lt;&gt;""),1,"")</f>
        <v/>
      </c>
    </row>
    <row r="367" spans="2:17" ht="14.25" customHeight="1" x14ac:dyDescent="0.35">
      <c r="C367" s="347"/>
      <c r="D367" s="347"/>
      <c r="E367" s="347"/>
      <c r="F367" s="347"/>
    </row>
    <row r="368" spans="2:17" ht="30" customHeight="1" x14ac:dyDescent="0.35">
      <c r="B368" s="9" t="str">
        <f>IF(B343&lt;&gt;"","19","")</f>
        <v/>
      </c>
      <c r="C368" s="344" t="str">
        <f>IF(B343&lt;&gt;"","Are faculty provided professional development and training on distance education delivery?","")</f>
        <v/>
      </c>
      <c r="D368" s="344"/>
      <c r="E368" s="344"/>
      <c r="F368" s="344"/>
      <c r="G368" s="322" t="s">
        <v>23</v>
      </c>
      <c r="H368" s="206"/>
      <c r="O368" s="197" t="str">
        <f>IF(P368=1, "&lt;===", "")</f>
        <v/>
      </c>
      <c r="P368" s="167" t="str">
        <f>IF(AND(G330="Yes",B343&lt;&gt;"",G368="Please Select",D411&lt;&gt;""), 1, "")</f>
        <v/>
      </c>
    </row>
    <row r="369" spans="1:17" ht="14.25" customHeight="1" x14ac:dyDescent="0.35"/>
    <row r="370" spans="1:17" ht="31.5" customHeight="1" x14ac:dyDescent="0.35">
      <c r="B370" s="9" t="str">
        <f>IF(B343&lt;&gt;"","20","")</f>
        <v/>
      </c>
      <c r="C370" s="344" t="str">
        <f>IF(B343&lt;&gt;"","Are the faculty evaluated on their effectiveness in delivery of distance education?","")</f>
        <v/>
      </c>
      <c r="D370" s="344"/>
      <c r="E370" s="344"/>
      <c r="F370" s="344"/>
      <c r="G370" s="300" t="s">
        <v>23</v>
      </c>
      <c r="H370" s="206"/>
      <c r="O370" s="197" t="str">
        <f>IF(P370=1, "&lt;===", "")</f>
        <v/>
      </c>
      <c r="P370" s="167" t="str">
        <f>IF(AND(G330="Yes",B343&lt;&gt;"",G370="Please Select",D411&lt;&gt;""), 1, "")</f>
        <v/>
      </c>
    </row>
    <row r="371" spans="1:17" ht="14.25" customHeight="1" x14ac:dyDescent="0.35"/>
    <row r="372" spans="1:17" ht="33.75" customHeight="1" x14ac:dyDescent="0.35">
      <c r="B372" s="9" t="str">
        <f>IF(B343&lt;&gt;"","21","")</f>
        <v/>
      </c>
      <c r="C372" s="344" t="str">
        <f>IF(B343&lt;&gt;"","During the student application process, does the program clearly disclose information regarding technology requirements and resources?","")</f>
        <v/>
      </c>
      <c r="D372" s="344"/>
      <c r="E372" s="344"/>
      <c r="F372" s="344"/>
      <c r="G372" s="300" t="s">
        <v>23</v>
      </c>
      <c r="H372" s="206"/>
      <c r="O372" s="197" t="str">
        <f>IF(P372=1, "&lt;===", "")</f>
        <v/>
      </c>
      <c r="P372" s="167" t="str">
        <f>IF(AND(G330="Yes",B343&lt;&gt;"",G372="Please Select",D411&lt;&gt;""), 1, "")</f>
        <v/>
      </c>
    </row>
    <row r="373" spans="1:17" ht="14.25" customHeight="1" x14ac:dyDescent="0.35">
      <c r="B373" s="9"/>
    </row>
    <row r="374" spans="1:17" ht="36.75" customHeight="1" x14ac:dyDescent="0.35">
      <c r="B374" s="9" t="str">
        <f>IF(B343&lt;&gt;"","22","")</f>
        <v/>
      </c>
      <c r="C374" s="344" t="str">
        <f>IF(B343&lt;&gt;"","Does the program have an authentication process that verifies student identity before each online student evaluation (e.g., examination)?","")</f>
        <v/>
      </c>
      <c r="D374" s="344"/>
      <c r="E374" s="344"/>
      <c r="F374" s="344"/>
      <c r="G374" s="300" t="s">
        <v>23</v>
      </c>
      <c r="H374" s="206"/>
      <c r="O374" s="197" t="str">
        <f>IF(P374=1, "&lt;===", "")</f>
        <v/>
      </c>
      <c r="P374" s="167" t="str">
        <f>IF(AND(G330="Yes",B343&lt;&gt;"",G374="Please Select",D411&lt;&gt;""), 1, "")</f>
        <v/>
      </c>
    </row>
    <row r="375" spans="1:17" ht="10.5" customHeight="1" x14ac:dyDescent="0.35">
      <c r="B375" s="9"/>
    </row>
    <row r="376" spans="1:17" ht="96" customHeight="1" x14ac:dyDescent="0.35">
      <c r="B376" s="306"/>
      <c r="C376" s="565" t="str">
        <f>IF(AND(B374&lt;&gt;"",G374="Yes"),"       Breifly describe the verification method ==&gt;","")</f>
        <v/>
      </c>
      <c r="D376" s="565"/>
      <c r="E376" s="565"/>
      <c r="F376" s="565"/>
      <c r="G376" s="566"/>
      <c r="H376" s="566"/>
      <c r="I376" s="566"/>
      <c r="J376" s="566"/>
      <c r="K376" s="566"/>
      <c r="L376" s="566"/>
      <c r="M376" s="566"/>
      <c r="N376" s="566"/>
      <c r="O376" s="197" t="str">
        <f>IF(P376=1, "&lt;===", "")</f>
        <v/>
      </c>
      <c r="P376" s="167" t="str">
        <f>IF(AND(G374="Yes",G376="",D411&lt;&gt;""),1,"")</f>
        <v/>
      </c>
    </row>
    <row r="377" spans="1:17" ht="14.25" customHeight="1" x14ac:dyDescent="0.35">
      <c r="H377" s="211"/>
      <c r="I377" s="211"/>
      <c r="J377" s="211"/>
      <c r="K377" s="10"/>
    </row>
    <row r="378" spans="1:17" s="11" customFormat="1" ht="35.25" customHeight="1" x14ac:dyDescent="0.35">
      <c r="A378" s="158"/>
      <c r="B378" s="207" t="str">
        <f>IF(B343&lt;&gt;"","23","")</f>
        <v/>
      </c>
      <c r="C378" s="350" t="str">
        <f>IF(B343&lt;&gt;"","What factors influenced the decision of the program to offer education utilizing a blended distance education format?","")</f>
        <v/>
      </c>
      <c r="D378" s="350"/>
      <c r="E378" s="350"/>
      <c r="F378" s="350"/>
      <c r="O378" s="193"/>
      <c r="P378" s="167"/>
    </row>
    <row r="379" spans="1:17" ht="7.5" customHeight="1" x14ac:dyDescent="0.35">
      <c r="B379" s="306"/>
      <c r="C379" s="346"/>
      <c r="D379" s="346"/>
      <c r="E379" s="346"/>
      <c r="F379" s="346"/>
      <c r="G379" s="346"/>
      <c r="O379" s="197"/>
      <c r="P379" s="167"/>
    </row>
    <row r="380" spans="1:17" ht="8.25" customHeight="1" x14ac:dyDescent="0.35">
      <c r="H380" s="211"/>
      <c r="I380" s="211"/>
      <c r="J380" s="211"/>
      <c r="K380" s="10"/>
    </row>
    <row r="381" spans="1:17" ht="22.5" customHeight="1" x14ac:dyDescent="0.35">
      <c r="D381" s="344" t="str">
        <f>IF(B343&lt;&gt;"","     Cost-effective","")</f>
        <v/>
      </c>
      <c r="E381" s="344"/>
      <c r="F381" s="344"/>
      <c r="G381" s="300" t="s">
        <v>23</v>
      </c>
      <c r="H381" s="299"/>
      <c r="I381" s="342"/>
      <c r="J381" s="342"/>
      <c r="K381" s="342"/>
      <c r="L381" s="342"/>
      <c r="M381" s="342"/>
      <c r="O381" s="197" t="str">
        <f>IF(P381=1, "&lt;===", "")</f>
        <v/>
      </c>
      <c r="P381" s="167" t="str">
        <f>IF(AND(G330="Yes",B343&lt;&gt;"",G381="Please Select",D411&lt;&gt;""), 1, "")</f>
        <v/>
      </c>
      <c r="Q381" s="3"/>
    </row>
    <row r="382" spans="1:17" ht="10.5" customHeight="1" x14ac:dyDescent="0.35">
      <c r="D382" s="188"/>
      <c r="E382" s="188"/>
      <c r="F382" s="188"/>
      <c r="I382" s="342"/>
      <c r="J382" s="342"/>
      <c r="K382" s="342"/>
      <c r="L382" s="342"/>
      <c r="M382" s="342"/>
      <c r="Q382" s="3"/>
    </row>
    <row r="383" spans="1:17" ht="28.5" customHeight="1" x14ac:dyDescent="0.35">
      <c r="C383" s="210"/>
      <c r="D383" s="344" t="str">
        <f>IF(B343&lt;&gt;"","     Increased accesibility to students","")</f>
        <v/>
      </c>
      <c r="E383" s="344"/>
      <c r="F383" s="344"/>
      <c r="G383" s="300" t="s">
        <v>23</v>
      </c>
      <c r="H383" s="206"/>
      <c r="I383" s="342"/>
      <c r="J383" s="342"/>
      <c r="K383" s="342"/>
      <c r="L383" s="342"/>
      <c r="M383" s="342"/>
      <c r="O383" s="197" t="str">
        <f>IF(P383=1, "&lt;===", "")</f>
        <v/>
      </c>
      <c r="P383" s="167" t="str">
        <f>IF(AND(G330="Yes",B343&lt;&gt;"",G383="Please Select",D411&lt;&gt;""), 1, "")</f>
        <v/>
      </c>
      <c r="Q383" s="3"/>
    </row>
    <row r="384" spans="1:17" ht="10.5" customHeight="1" x14ac:dyDescent="0.35">
      <c r="D384" s="188"/>
      <c r="E384" s="188"/>
      <c r="F384" s="188"/>
      <c r="I384" s="342"/>
      <c r="J384" s="342"/>
      <c r="K384" s="342"/>
      <c r="L384" s="342"/>
      <c r="M384" s="342"/>
      <c r="Q384" s="3"/>
    </row>
    <row r="385" spans="2:17" ht="28.5" customHeight="1" x14ac:dyDescent="0.35">
      <c r="D385" s="344" t="str">
        <f>IF(B343&lt;&gt;"","     Flexibility","")</f>
        <v/>
      </c>
      <c r="E385" s="344"/>
      <c r="F385" s="344"/>
      <c r="G385" s="300" t="s">
        <v>23</v>
      </c>
      <c r="H385" s="206"/>
      <c r="I385" s="342"/>
      <c r="J385" s="342"/>
      <c r="K385" s="342"/>
      <c r="L385" s="342"/>
      <c r="M385" s="342"/>
      <c r="O385" s="197" t="str">
        <f>IF(P385=1, "&lt;===", "")</f>
        <v/>
      </c>
      <c r="P385" s="167" t="str">
        <f>IF(AND(G330="Yes",B343&lt;&gt;"",G385="Please Select",D411&lt;&gt;""), 1, "")</f>
        <v/>
      </c>
      <c r="Q385" s="3"/>
    </row>
    <row r="386" spans="2:17" ht="8.25" customHeight="1" x14ac:dyDescent="0.35">
      <c r="C386" s="246"/>
      <c r="D386" s="317"/>
      <c r="E386" s="317"/>
      <c r="F386" s="317"/>
      <c r="G386" s="246"/>
      <c r="I386" s="342"/>
      <c r="J386" s="342"/>
      <c r="K386" s="342"/>
      <c r="L386" s="342"/>
      <c r="M386" s="342"/>
    </row>
    <row r="387" spans="2:17" ht="28.5" customHeight="1" x14ac:dyDescent="0.35">
      <c r="D387" s="344" t="str">
        <f>IF(B343&lt;&gt;"","     Student convenience","")</f>
        <v/>
      </c>
      <c r="E387" s="344"/>
      <c r="F387" s="344"/>
      <c r="G387" s="300" t="s">
        <v>23</v>
      </c>
      <c r="H387" s="206"/>
      <c r="I387" s="211"/>
      <c r="J387" s="211"/>
      <c r="K387" s="211"/>
      <c r="L387" s="211"/>
      <c r="M387" s="211"/>
      <c r="O387" s="197" t="str">
        <f>IF(P387=1, "&lt;===", "")</f>
        <v/>
      </c>
      <c r="P387" s="167" t="str">
        <f>IF(AND(G330="Yes",B343&lt;&gt;"",G387="Please Select",D411&lt;&gt;""), 1, "")</f>
        <v/>
      </c>
      <c r="Q387" s="3"/>
    </row>
    <row r="388" spans="2:17" ht="8.25" customHeight="1" x14ac:dyDescent="0.35">
      <c r="C388" s="246"/>
      <c r="D388" s="317"/>
      <c r="E388" s="317"/>
      <c r="F388" s="317"/>
      <c r="G388" s="246"/>
      <c r="I388" s="211"/>
      <c r="J388" s="211"/>
      <c r="K388" s="211"/>
      <c r="L388" s="211"/>
      <c r="M388" s="211"/>
    </row>
    <row r="389" spans="2:17" ht="28.5" customHeight="1" x14ac:dyDescent="0.35">
      <c r="D389" s="344" t="str">
        <f>IF(B343&lt;&gt;"","     Time efficiency","")</f>
        <v/>
      </c>
      <c r="E389" s="344"/>
      <c r="F389" s="344"/>
      <c r="G389" s="300" t="s">
        <v>23</v>
      </c>
      <c r="H389" s="299"/>
      <c r="I389" s="211"/>
      <c r="J389" s="211"/>
      <c r="K389" s="211"/>
      <c r="L389" s="211"/>
      <c r="M389" s="211"/>
      <c r="O389" s="197" t="str">
        <f>IF(P389=1, "&lt;===", "")</f>
        <v/>
      </c>
      <c r="P389" s="167" t="str">
        <f>IF(AND(G330="Yes",B343&lt;&gt;"",G389="Please Select",D411&lt;&gt;""), 1, "")</f>
        <v/>
      </c>
      <c r="Q389" s="3"/>
    </row>
    <row r="390" spans="2:17" ht="10.5" customHeight="1" x14ac:dyDescent="0.35">
      <c r="D390" s="188"/>
      <c r="E390" s="188"/>
      <c r="F390" s="188"/>
      <c r="I390" s="211"/>
      <c r="J390" s="211"/>
      <c r="K390" s="211"/>
      <c r="L390" s="211"/>
      <c r="M390" s="211"/>
      <c r="Q390" s="3"/>
    </row>
    <row r="391" spans="2:17" ht="28.5" customHeight="1" x14ac:dyDescent="0.35">
      <c r="C391" s="210"/>
      <c r="D391" s="344" t="str">
        <f>IF(B343&lt;&gt;"","     Other","")</f>
        <v/>
      </c>
      <c r="E391" s="344"/>
      <c r="F391" s="344"/>
      <c r="G391" s="300" t="s">
        <v>23</v>
      </c>
      <c r="H391" s="206"/>
      <c r="I391" s="211"/>
      <c r="J391" s="211"/>
      <c r="K391" s="211"/>
      <c r="L391" s="211"/>
      <c r="M391" s="211"/>
      <c r="O391" s="197" t="str">
        <f>IF(P391=1, "&lt;===", "")</f>
        <v/>
      </c>
      <c r="P391" s="167" t="str">
        <f>IF(AND(G330="Yes",B343&lt;&gt;"",G391="Please Select",D411&lt;&gt;""), 1, "")</f>
        <v/>
      </c>
      <c r="Q391" s="3"/>
    </row>
    <row r="392" spans="2:17" ht="18" customHeight="1" x14ac:dyDescent="0.35">
      <c r="D392" s="188" t="str">
        <f>IF(G391="Yes","Briefly explain:","")</f>
        <v/>
      </c>
      <c r="E392" s="188"/>
      <c r="F392" s="188"/>
      <c r="I392" s="211"/>
      <c r="J392" s="211"/>
      <c r="K392" s="211"/>
      <c r="L392" s="211"/>
      <c r="M392" s="211"/>
      <c r="Q392" s="3"/>
    </row>
    <row r="393" spans="2:17" ht="48.75" customHeight="1" x14ac:dyDescent="0.35">
      <c r="C393" s="333"/>
      <c r="D393" s="345"/>
      <c r="E393" s="345"/>
      <c r="F393" s="345"/>
      <c r="G393" s="345"/>
      <c r="H393" s="206"/>
      <c r="O393" s="197" t="str">
        <f>IF(P393=1, "&lt;===", "")</f>
        <v/>
      </c>
      <c r="P393" s="167" t="str">
        <f>IF(AND(G391="Yes",D393="",D411&lt;&gt;""), 1, "")</f>
        <v/>
      </c>
    </row>
    <row r="394" spans="2:17" ht="10.5" customHeight="1" x14ac:dyDescent="0.35">
      <c r="C394" s="343"/>
      <c r="P394" s="167"/>
    </row>
    <row r="395" spans="2:17" ht="36.75" customHeight="1" x14ac:dyDescent="0.35">
      <c r="B395" s="9" t="str">
        <f>IF(B343&lt;&gt;"","24","")</f>
        <v/>
      </c>
      <c r="C395" s="344" t="str">
        <f>IF(B343&lt;&gt;"","What are the three greatest challenges you face in blended distance education delivery at the program?","")</f>
        <v/>
      </c>
      <c r="D395" s="344"/>
      <c r="E395" s="344"/>
      <c r="F395" s="344"/>
      <c r="G395" s="344"/>
      <c r="H395" s="206"/>
      <c r="O395" s="259"/>
      <c r="P395" s="259"/>
    </row>
    <row r="396" spans="2:17" ht="10.5" customHeight="1" x14ac:dyDescent="0.35"/>
    <row r="397" spans="2:17" ht="48.75" customHeight="1" x14ac:dyDescent="0.35">
      <c r="C397" s="333" t="str">
        <f>IF(B343&lt;&gt;"","a.","")</f>
        <v/>
      </c>
      <c r="D397" s="345"/>
      <c r="E397" s="345"/>
      <c r="F397" s="345"/>
      <c r="G397" s="345"/>
      <c r="H397" s="206"/>
      <c r="O397" s="197" t="str">
        <f>IF(P397=1, "&lt;===", "")</f>
        <v/>
      </c>
      <c r="P397" s="167" t="str">
        <f>IF(AND(G330="Yes",B343&lt;&gt;"",D397="",D411&lt;&gt;""), 1, "")</f>
        <v/>
      </c>
    </row>
    <row r="398" spans="2:17" ht="10.5" customHeight="1" x14ac:dyDescent="0.35">
      <c r="C398" s="343"/>
      <c r="P398" s="167"/>
    </row>
    <row r="399" spans="2:17" ht="48.75" customHeight="1" x14ac:dyDescent="0.35">
      <c r="C399" s="333" t="str">
        <f>IF(B343&lt;&gt;"","b.","")</f>
        <v/>
      </c>
      <c r="D399" s="345"/>
      <c r="E399" s="345"/>
      <c r="F399" s="345"/>
      <c r="G399" s="345"/>
      <c r="H399" s="206"/>
      <c r="O399" s="197" t="str">
        <f>IF(P399=1, "&lt;===", "")</f>
        <v/>
      </c>
      <c r="P399" s="167" t="str">
        <f>IF(AND(G330="Yes",B343&lt;&gt;"",D399="",D411&lt;&gt;""), 1, "")</f>
        <v/>
      </c>
    </row>
    <row r="400" spans="2:17" ht="12" customHeight="1" x14ac:dyDescent="0.35">
      <c r="H400" s="211"/>
      <c r="I400" s="211"/>
      <c r="J400" s="211"/>
      <c r="K400" s="10"/>
      <c r="P400" s="167"/>
    </row>
    <row r="401" spans="2:20" ht="48.75" customHeight="1" x14ac:dyDescent="0.35">
      <c r="B401" s="207"/>
      <c r="C401" s="331" t="str">
        <f>IF(B343&lt;&gt;"","c.","")</f>
        <v/>
      </c>
      <c r="D401" s="345"/>
      <c r="E401" s="345"/>
      <c r="F401" s="345"/>
      <c r="G401" s="345"/>
      <c r="O401" s="197" t="str">
        <f>IF(P401=1, "&lt;===", "")</f>
        <v/>
      </c>
      <c r="P401" s="167" t="str">
        <f>IF(AND(G330="Yes",B343&lt;&gt;"",D401="",D411&lt;&gt;""),1,"")</f>
        <v/>
      </c>
    </row>
    <row r="402" spans="2:20" ht="16.5" customHeight="1" x14ac:dyDescent="0.35">
      <c r="C402" s="347"/>
      <c r="D402" s="347"/>
      <c r="E402" s="347"/>
      <c r="F402" s="347"/>
    </row>
    <row r="403" spans="2:20" ht="6" customHeight="1" x14ac:dyDescent="0.35">
      <c r="C403" s="246"/>
      <c r="D403" s="246"/>
      <c r="E403" s="246"/>
      <c r="F403" s="246"/>
      <c r="G403" s="246"/>
      <c r="O403" s="158"/>
      <c r="P403" s="259"/>
    </row>
    <row r="405" spans="2:20" ht="59.25" customHeight="1" x14ac:dyDescent="0.35">
      <c r="B405" s="5"/>
      <c r="C405" s="524" t="str">
        <f>"Did the program enroll a cohort(s) in each of the calendar years listed:                                                           
                                         "&amp;D4-1&amp;", "&amp;D4&amp;", "&amp;D4+1&amp;""</f>
        <v>Did the program enroll a cohort(s) in each of the calendar years listed:                                                           
                                         2022, 2023, 2024</v>
      </c>
      <c r="D405" s="524"/>
      <c r="E405" s="524"/>
      <c r="F405" s="525"/>
      <c r="G405" s="241" t="s">
        <v>23</v>
      </c>
      <c r="H405" s="188"/>
      <c r="I405" s="291"/>
      <c r="J405" s="188"/>
      <c r="K405" s="188"/>
      <c r="L405" s="188"/>
      <c r="M405" s="188"/>
      <c r="N405" s="188"/>
      <c r="O405" s="170" t="str">
        <f>IF(P405=1, "&lt;===", "")</f>
        <v/>
      </c>
      <c r="P405" s="167" t="str">
        <f>IF(AND(G405="Please Select",D411&lt;&gt;""),1,"")</f>
        <v/>
      </c>
      <c r="R405" s="3" t="s">
        <v>58</v>
      </c>
      <c r="S405" s="3">
        <f>IF(OR(G210="Please Select",G210="Yes"),67,67)</f>
        <v>67</v>
      </c>
      <c r="T405" s="156"/>
    </row>
    <row r="406" spans="2:20" ht="5.25" customHeight="1" x14ac:dyDescent="0.35">
      <c r="R406" s="156"/>
      <c r="S406" s="156"/>
      <c r="T406" s="156"/>
    </row>
    <row r="407" spans="2:20" ht="22.5" customHeight="1" x14ac:dyDescent="0.35">
      <c r="C407" s="523" t="str">
        <f>IF(G405="No","      List the year(s) from the above list that students were not enrolled:","")</f>
        <v/>
      </c>
      <c r="D407" s="523"/>
      <c r="E407" s="523"/>
      <c r="F407" s="523"/>
      <c r="G407" s="497"/>
      <c r="H407" s="497"/>
      <c r="I407" s="497"/>
      <c r="O407" s="166" t="str">
        <f>IF(P407=1, "&lt;===", "")</f>
        <v/>
      </c>
      <c r="P407" s="167" t="str">
        <f>IF(AND(G405="No",G407="",D411&lt;&gt;""),1,"")</f>
        <v/>
      </c>
      <c r="R407" s="156"/>
      <c r="S407" s="156"/>
      <c r="T407" s="156"/>
    </row>
    <row r="408" spans="2:20" ht="26.25" customHeight="1" x14ac:dyDescent="0.35"/>
    <row r="409" spans="2:20" ht="49.5" customHeight="1" x14ac:dyDescent="0.35">
      <c r="B409" s="142"/>
      <c r="C409" s="143" t="s">
        <v>23</v>
      </c>
      <c r="D409" s="511" t="s">
        <v>140</v>
      </c>
      <c r="E409" s="511"/>
      <c r="F409" s="511"/>
      <c r="G409" s="511"/>
      <c r="H409" s="511"/>
      <c r="I409" s="511"/>
      <c r="J409" s="511"/>
      <c r="O409" s="170" t="str">
        <f>IF(P409=1, "&lt;===", "")</f>
        <v/>
      </c>
      <c r="P409" s="167" t="str">
        <f>IF(AND(C409="Please Select",D411&lt;&gt;""), 1, "")</f>
        <v/>
      </c>
    </row>
    <row r="410" spans="2:20" x14ac:dyDescent="0.35">
      <c r="C410" s="489" t="s">
        <v>46</v>
      </c>
      <c r="D410" s="489"/>
      <c r="E410" s="489"/>
      <c r="F410" s="489"/>
    </row>
    <row r="411" spans="2:20" x14ac:dyDescent="0.35">
      <c r="C411" t="s">
        <v>60</v>
      </c>
      <c r="D411" s="510"/>
      <c r="E411" s="510"/>
    </row>
    <row r="412" spans="2:20" x14ac:dyDescent="0.35">
      <c r="C412" t="s">
        <v>47</v>
      </c>
      <c r="D412" s="215"/>
      <c r="E412" s="154" t="s">
        <v>48</v>
      </c>
    </row>
    <row r="414" spans="2:20" x14ac:dyDescent="0.35">
      <c r="D414" s="3"/>
      <c r="E414" s="3"/>
      <c r="F414" s="3"/>
      <c r="G414" s="3"/>
      <c r="H414" s="3"/>
      <c r="I414" s="3"/>
      <c r="J414" s="3"/>
      <c r="K414" s="3"/>
      <c r="L414" s="3"/>
      <c r="M414" s="3"/>
      <c r="N414" s="3"/>
    </row>
    <row r="415" spans="2:20" ht="110.25" customHeight="1" x14ac:dyDescent="0.35">
      <c r="D415" s="443" t="e">
        <f>IF(AND(D411&lt;&gt;"",'2023 Satellite(s)'!O11="",O415&lt;&gt;""),"There are items on the "&amp;D4&amp;" Annual Report tab that have not been answered.  Please review and complete all blank cells identified by this symbol [&lt;===].  This message will no longer appear once all required items have been answered.",IF(AND(D411&lt;&gt;"",'2023 Satellite(s)'!O11&lt;&gt;"",O415&lt;&gt;""),"There are items on both the "&amp;D4&amp;" Annual Report tab and the "&amp;D4&amp;" Satellite(s) tab that have not been answered.  "&amp;"Please review both tabs and complete all blank cells identified by this symbol [&lt;===].  This message will no longer appear once all required items have been answered.",IF(AND(D411&lt;&gt;"",'2023 Satellite(s)'!O11&lt;&gt;"",O415=""),"There are items on the "&amp;D4&amp;" Satellite(s) tab that have not been answered.  Please review and complete all blank cells identified by this symbol [&lt;===].  This message will no longer appear once all required items have been answered.","")))</f>
        <v>#VALUE!</v>
      </c>
      <c r="E415" s="443"/>
      <c r="F415" s="443"/>
      <c r="G415" s="443"/>
      <c r="H415" s="443"/>
      <c r="I415" s="443"/>
      <c r="J415" s="443"/>
      <c r="K415" s="443"/>
      <c r="L415" s="443"/>
      <c r="M415" s="443"/>
      <c r="N415" s="443"/>
      <c r="O415" s="167" t="e">
        <f>IF(AND(D411&lt;&gt;"", OR(O16&lt;&gt;"",O18&lt;&gt;"",O20&lt;&gt;"",O23&lt;&gt;"",O37&lt;&gt;"",O25&lt;&gt;"",O39&lt;&gt;"",O57&lt;&gt;"",O58&lt;&gt;"",O59&lt;&gt;"",O61&lt;&gt;"",O62&lt;&gt;"",O63&lt;&gt;"",O66&lt;&gt;"",O67&lt;&gt;"",O68&lt;&gt;"",O81&lt;&gt;"",N84&lt;&gt;"", O84&lt;&gt;"",O92&lt;&gt;"",O93&lt;&gt;"",O94&lt;&gt;"",O115&lt;&gt;"",O116&lt;&gt;"",O132&lt;&gt;"",O131&lt;&gt;"",O133&lt;&gt;"",O137&lt;&gt;"",O168&lt;&gt;"",O169&lt;&gt;"",O170&lt;&gt;"",O171&lt;&gt;"",O174&lt;&gt;"",O44&lt;&gt;"",O210&lt;&gt;"",O208&lt;&gt;"",H215&lt;&gt;"",H217&lt;&gt;"",H219&lt;&gt;"",H221&lt;&gt;"",H223&lt;&gt;"",O215&lt;&gt;"",O217&lt;&gt;"",O219&lt;&gt;"",O221&lt;&gt;"",O223&lt;&gt;"",AA54&lt;&gt;"",AA67&lt;&gt;"",AA87&lt;&gt;"",AA95&lt;&gt;"",AA110&lt;&gt;"",AA118&lt;&gt;"",O228&lt;&gt;"",O290&lt;&gt;"",O294&lt;&gt;"",O296&lt;&gt;"",O298&lt;&gt;"",O300&lt;&gt;"",O302&lt;&gt;"",O304&lt;&gt;"",O306&lt;&gt;"",O308&lt;&gt;"",O313&lt;&gt;"",O315&lt;&gt;"",O317&lt;&gt;"",O321&lt;&gt;"",O323&lt;&gt;"",O325&lt;&gt;"",O327&lt;&gt;"",O330&lt;&gt;"",O332&lt;&gt;"",O334&lt;&gt;"",O343&lt;&gt;"",O347&lt;&gt;"",O350&lt;&gt;"",O352&lt;&gt;"",O354&lt;&gt;"",O356&lt;&gt;"",O358&lt;&gt;"",O360&lt;&gt;"",O362&lt;&gt;"",O364&lt;&gt;"",O366&lt;&gt;"",O368&lt;&gt;"",O370&lt;&gt;"",O372&lt;&gt;"",O374&lt;&gt;"",O376&lt;&gt;"",O381&lt;&gt;"",O383&lt;&gt;"",O385&lt;&gt;"",O387&lt;&gt;"",O389&lt;&gt;"",O391&lt;&gt;"",O393&lt;&gt;"",O397&lt;&gt;"",O399&lt;&gt;"",O401&lt;&gt;"",O405&lt;&gt;"",O407&lt;&gt;"",O409&lt;&gt;"")),1,"")</f>
        <v>#VALUE!</v>
      </c>
    </row>
    <row r="417" spans="3:14" ht="14.25" customHeight="1" x14ac:dyDescent="0.35"/>
    <row r="418" spans="3:14" ht="63" customHeight="1" x14ac:dyDescent="0.65">
      <c r="C418" s="499" t="str">
        <f>IF(D411&lt;&gt;"","Thank you for completing the "&amp;D4&amp;" Annual Report.  
Be sure to check your data then submit this completed template","")</f>
        <v/>
      </c>
      <c r="D418" s="499"/>
      <c r="E418" s="499"/>
      <c r="F418" s="499"/>
      <c r="G418" s="499" t="b">
        <v>0</v>
      </c>
      <c r="H418" s="499"/>
      <c r="I418" s="499"/>
      <c r="J418" s="499"/>
      <c r="K418" s="499"/>
      <c r="L418" s="499"/>
      <c r="M418" s="499"/>
      <c r="N418" s="499"/>
    </row>
    <row r="419" spans="3:14" ht="28.5" x14ac:dyDescent="0.65">
      <c r="C419" s="512" t="str">
        <f>IF(D411&lt;&gt;"","no later than May 15, " &amp;D4+2 &amp; " by emailing annualreports@coaemsp.org","")</f>
        <v/>
      </c>
      <c r="D419" s="512"/>
      <c r="E419" s="512"/>
      <c r="F419" s="512"/>
      <c r="G419" s="512"/>
      <c r="H419" s="512"/>
      <c r="I419" s="512"/>
      <c r="J419" s="512"/>
      <c r="K419" s="512"/>
      <c r="L419" s="512"/>
      <c r="M419" s="512"/>
      <c r="N419" s="512"/>
    </row>
  </sheetData>
  <sheetProtection algorithmName="SHA-512" hashValue="DmyP03vurWtmhJXstD0RZtgvwEmvSerr2YzhiMx2LvJleiQZanA28FilD7XcTQDlInaG/RmMbFxZJaXx8E5S4g==" saltValue="3Ajs/QgsS1EZPeOcem+FbQ==" spinCount="100000" sheet="1" formatRows="0" selectLockedCells="1"/>
  <customSheetViews>
    <customSheetView guid="{993DF57F-A792-4998-A444-891BBBD74251}" scale="110" showPageBreaks="1" printArea="1" topLeftCell="A55">
      <selection activeCell="F62" sqref="F62"/>
      <rowBreaks count="8" manualBreakCount="8">
        <brk id="42" max="68" man="1"/>
        <brk id="71" max="82" man="1"/>
        <brk id="93" max="82" man="1"/>
        <brk id="113" max="82" man="1"/>
        <brk id="148" max="82" man="1"/>
        <brk id="184" max="82" man="1"/>
        <brk id="228" max="16383" man="1"/>
        <brk id="287" max="82" man="1"/>
      </rowBreaks>
      <colBreaks count="6" manualBreakCount="6">
        <brk id="14" max="1048575" man="1"/>
        <brk id="33" min="42" max="70" man="1"/>
        <brk id="51" min="42" max="70" man="1"/>
        <brk id="69" max="1048575" man="1"/>
        <brk id="88" max="307" man="1"/>
        <brk id="106" max="307" man="1"/>
      </colBreaks>
      <pageMargins left="0.15" right="0.15" top="0.25" bottom="0.25" header="0" footer="0"/>
      <printOptions horizontalCentered="1" verticalCentered="1"/>
      <pageSetup scale="44" fitToHeight="0" pageOrder="overThenDown" orientation="landscape" r:id="rId1"/>
    </customSheetView>
  </customSheetViews>
  <mergeCells count="358">
    <mergeCell ref="C358:F358"/>
    <mergeCell ref="C360:F360"/>
    <mergeCell ref="C368:F368"/>
    <mergeCell ref="C370:F370"/>
    <mergeCell ref="C372:F372"/>
    <mergeCell ref="C341:D342"/>
    <mergeCell ref="C367:F367"/>
    <mergeCell ref="P30:V30"/>
    <mergeCell ref="B56:D56"/>
    <mergeCell ref="I37:N46"/>
    <mergeCell ref="R50:AA50"/>
    <mergeCell ref="P50:Q50"/>
    <mergeCell ref="D270:F270"/>
    <mergeCell ref="B205:N205"/>
    <mergeCell ref="J210:N210"/>
    <mergeCell ref="C208:F208"/>
    <mergeCell ref="D201:K201"/>
    <mergeCell ref="B206:N206"/>
    <mergeCell ref="B196:N196"/>
    <mergeCell ref="B167:D167"/>
    <mergeCell ref="I215:K215"/>
    <mergeCell ref="I217:K217"/>
    <mergeCell ref="I221:K221"/>
    <mergeCell ref="C212:F212"/>
    <mergeCell ref="B60:M60"/>
    <mergeCell ref="B65:M65"/>
    <mergeCell ref="R51:S51"/>
    <mergeCell ref="U51:Z51"/>
    <mergeCell ref="O155:Y155"/>
    <mergeCell ref="O149:Y149"/>
    <mergeCell ref="R163:AA163"/>
    <mergeCell ref="AI71:AO76"/>
    <mergeCell ref="AI67:AJ67"/>
    <mergeCell ref="AR65:AX66"/>
    <mergeCell ref="AR67:AX76"/>
    <mergeCell ref="B70:D70"/>
    <mergeCell ref="B75:N75"/>
    <mergeCell ref="B69:D69"/>
    <mergeCell ref="AI65:AO66"/>
    <mergeCell ref="B123:C123"/>
    <mergeCell ref="AR93:AS93"/>
    <mergeCell ref="B120:N120"/>
    <mergeCell ref="B122:N122"/>
    <mergeCell ref="P126:Q126"/>
    <mergeCell ref="B135:D135"/>
    <mergeCell ref="B54:N54"/>
    <mergeCell ref="B72:C72"/>
    <mergeCell ref="B73:D73"/>
    <mergeCell ref="B55:D55"/>
    <mergeCell ref="B74:N74"/>
    <mergeCell ref="CJ218:CJ219"/>
    <mergeCell ref="X218:X219"/>
    <mergeCell ref="AG218:AG219"/>
    <mergeCell ref="AQ218:AQ219"/>
    <mergeCell ref="BR218:BR219"/>
    <mergeCell ref="AZ218:AZ219"/>
    <mergeCell ref="BI218:BI219"/>
    <mergeCell ref="CA218:CA219"/>
    <mergeCell ref="BJ68:BP76"/>
    <mergeCell ref="BJ54:BP54"/>
    <mergeCell ref="BA64:BB64"/>
    <mergeCell ref="B91:D91"/>
    <mergeCell ref="AI93:AJ93"/>
    <mergeCell ref="B76:N76"/>
    <mergeCell ref="R54:Z64"/>
    <mergeCell ref="R66:Z76"/>
    <mergeCell ref="BJ56:BP64"/>
    <mergeCell ref="AQ243:AQ244"/>
    <mergeCell ref="O243:O244"/>
    <mergeCell ref="X243:X244"/>
    <mergeCell ref="AG243:AG244"/>
    <mergeCell ref="AZ243:AZ244"/>
    <mergeCell ref="BI243:BI244"/>
    <mergeCell ref="BR243:BR244"/>
    <mergeCell ref="CA243:CA244"/>
    <mergeCell ref="CJ243:CJ244"/>
    <mergeCell ref="C419:N419"/>
    <mergeCell ref="I219:K219"/>
    <mergeCell ref="B156:D156"/>
    <mergeCell ref="C215:D215"/>
    <mergeCell ref="G212:H212"/>
    <mergeCell ref="G210:H210"/>
    <mergeCell ref="B138:D138"/>
    <mergeCell ref="B175:D175"/>
    <mergeCell ref="B204:N204"/>
    <mergeCell ref="C210:F210"/>
    <mergeCell ref="B158:N158"/>
    <mergeCell ref="C311:J311"/>
    <mergeCell ref="B195:N195"/>
    <mergeCell ref="B170:D170"/>
    <mergeCell ref="D268:F268"/>
    <mergeCell ref="G208:H208"/>
    <mergeCell ref="C407:F407"/>
    <mergeCell ref="C405:F405"/>
    <mergeCell ref="B255:N255"/>
    <mergeCell ref="J208:N208"/>
    <mergeCell ref="D415:N415"/>
    <mergeCell ref="C259:F259"/>
    <mergeCell ref="C376:F376"/>
    <mergeCell ref="G376:N376"/>
    <mergeCell ref="C418:N418"/>
    <mergeCell ref="D126:K126"/>
    <mergeCell ref="B129:N129"/>
    <mergeCell ref="B130:D130"/>
    <mergeCell ref="B127:C127"/>
    <mergeCell ref="B171:D171"/>
    <mergeCell ref="B193:D193"/>
    <mergeCell ref="B181:D181"/>
    <mergeCell ref="B182:D182"/>
    <mergeCell ref="B160:N160"/>
    <mergeCell ref="D163:K163"/>
    <mergeCell ref="C330:F330"/>
    <mergeCell ref="D325:F325"/>
    <mergeCell ref="C319:H319"/>
    <mergeCell ref="D321:F321"/>
    <mergeCell ref="D323:F323"/>
    <mergeCell ref="D317:F317"/>
    <mergeCell ref="C402:F402"/>
    <mergeCell ref="C366:F366"/>
    <mergeCell ref="D411:E411"/>
    <mergeCell ref="D409:J409"/>
    <mergeCell ref="C343:F343"/>
    <mergeCell ref="D393:G393"/>
    <mergeCell ref="G341:P341"/>
    <mergeCell ref="C410:F410"/>
    <mergeCell ref="B176:D176"/>
    <mergeCell ref="B198:N198"/>
    <mergeCell ref="B254:N254"/>
    <mergeCell ref="D269:F269"/>
    <mergeCell ref="B187:D187"/>
    <mergeCell ref="B188:D188"/>
    <mergeCell ref="C263:F263"/>
    <mergeCell ref="K212:L212"/>
    <mergeCell ref="E215:G215"/>
    <mergeCell ref="B194:D194"/>
    <mergeCell ref="G407:I407"/>
    <mergeCell ref="C217:D217"/>
    <mergeCell ref="C219:D219"/>
    <mergeCell ref="C221:D221"/>
    <mergeCell ref="E221:G221"/>
    <mergeCell ref="E223:G223"/>
    <mergeCell ref="E225:G225"/>
    <mergeCell ref="D293:H293"/>
    <mergeCell ref="C292:F292"/>
    <mergeCell ref="D275:F275"/>
    <mergeCell ref="C350:F350"/>
    <mergeCell ref="C354:F354"/>
    <mergeCell ref="C356:F356"/>
    <mergeCell ref="D2:L2"/>
    <mergeCell ref="B7:N7"/>
    <mergeCell ref="D18:M18"/>
    <mergeCell ref="D20:E20"/>
    <mergeCell ref="F20:G20"/>
    <mergeCell ref="A5:F5"/>
    <mergeCell ref="B8:N8"/>
    <mergeCell ref="D50:K50"/>
    <mergeCell ref="D23:F23"/>
    <mergeCell ref="D27:N28"/>
    <mergeCell ref="E12:M12"/>
    <mergeCell ref="B10:K10"/>
    <mergeCell ref="L10:N10"/>
    <mergeCell ref="E25:N25"/>
    <mergeCell ref="B27:C28"/>
    <mergeCell ref="D30:N31"/>
    <mergeCell ref="B30:C31"/>
    <mergeCell ref="B29:N29"/>
    <mergeCell ref="C25:D25"/>
    <mergeCell ref="C44:F44"/>
    <mergeCell ref="C46:F46"/>
    <mergeCell ref="B35:N35"/>
    <mergeCell ref="C37:F37"/>
    <mergeCell ref="C39:F39"/>
    <mergeCell ref="BJ66:BP67"/>
    <mergeCell ref="BA62:BG63"/>
    <mergeCell ref="AI50:AJ50"/>
    <mergeCell ref="BA59:BG59"/>
    <mergeCell ref="BA60:BB60"/>
    <mergeCell ref="BB50:BC50"/>
    <mergeCell ref="AK50:AT50"/>
    <mergeCell ref="AR56:AS56"/>
    <mergeCell ref="AI56:AJ56"/>
    <mergeCell ref="AK51:AO51"/>
    <mergeCell ref="AI54:AO54"/>
    <mergeCell ref="BA54:BG54"/>
    <mergeCell ref="BA56:BB56"/>
    <mergeCell ref="BD51:BH51"/>
    <mergeCell ref="BA66:BG67"/>
    <mergeCell ref="BD50:BK50"/>
    <mergeCell ref="AI59:AO60"/>
    <mergeCell ref="AR54:AX54"/>
    <mergeCell ref="AR59:AX60"/>
    <mergeCell ref="AI61:AJ61"/>
    <mergeCell ref="BT105:BU105"/>
    <mergeCell ref="BV105:BZ105"/>
    <mergeCell ref="B98:N98"/>
    <mergeCell ref="B100:N100"/>
    <mergeCell ref="BV108:CE108"/>
    <mergeCell ref="BA68:BG76"/>
    <mergeCell ref="AI69:AO70"/>
    <mergeCell ref="AR61:AS61"/>
    <mergeCell ref="AC67:AD67"/>
    <mergeCell ref="P80:Q80"/>
    <mergeCell ref="G83:H83"/>
    <mergeCell ref="C92:D92"/>
    <mergeCell ref="B81:F82"/>
    <mergeCell ref="G81:H82"/>
    <mergeCell ref="D79:K79"/>
    <mergeCell ref="B87:N87"/>
    <mergeCell ref="AQ91:AQ92"/>
    <mergeCell ref="BA85:BB85"/>
    <mergeCell ref="R87:Z93"/>
    <mergeCell ref="AE67:AF67"/>
    <mergeCell ref="B90:C90"/>
    <mergeCell ref="C93:D93"/>
    <mergeCell ref="B89:D89"/>
    <mergeCell ref="BV79:BZ79"/>
    <mergeCell ref="BT79:BU79"/>
    <mergeCell ref="AQ83:AQ84"/>
    <mergeCell ref="AZ83:AZ84"/>
    <mergeCell ref="BV81:BZ81"/>
    <mergeCell ref="R80:AA80"/>
    <mergeCell ref="B88:D88"/>
    <mergeCell ref="G84:H84"/>
    <mergeCell ref="D83:E83"/>
    <mergeCell ref="P83:P84"/>
    <mergeCell ref="B83:C83"/>
    <mergeCell ref="B84:F84"/>
    <mergeCell ref="BJ85:BK85"/>
    <mergeCell ref="BV85:BW85"/>
    <mergeCell ref="U81:Z81"/>
    <mergeCell ref="V82:X82"/>
    <mergeCell ref="BV118:CE118"/>
    <mergeCell ref="AQ115:AQ116"/>
    <mergeCell ref="AZ107:AZ108"/>
    <mergeCell ref="AQ107:AQ108"/>
    <mergeCell ref="B113:C113"/>
    <mergeCell ref="B133:D133"/>
    <mergeCell ref="D105:K105"/>
    <mergeCell ref="U106:Z106"/>
    <mergeCell ref="R95:Z100"/>
    <mergeCell ref="R108:Z108"/>
    <mergeCell ref="R109:Z115"/>
    <mergeCell ref="R116:Z116"/>
    <mergeCell ref="R117:Z122"/>
    <mergeCell ref="AH115:AH116"/>
    <mergeCell ref="BV106:BZ106"/>
    <mergeCell ref="B97:N97"/>
    <mergeCell ref="B102:C102"/>
    <mergeCell ref="P107:P108"/>
    <mergeCell ref="R105:AA105"/>
    <mergeCell ref="B110:N110"/>
    <mergeCell ref="B114:D114"/>
    <mergeCell ref="B112:D112"/>
    <mergeCell ref="B111:D111"/>
    <mergeCell ref="B101:C101"/>
    <mergeCell ref="D286:K286"/>
    <mergeCell ref="B134:D134"/>
    <mergeCell ref="D277:F277"/>
    <mergeCell ref="D278:F278"/>
    <mergeCell ref="B131:D131"/>
    <mergeCell ref="B137:D137"/>
    <mergeCell ref="B168:D168"/>
    <mergeCell ref="B149:D149"/>
    <mergeCell ref="D273:F273"/>
    <mergeCell ref="D276:F276"/>
    <mergeCell ref="D267:F267"/>
    <mergeCell ref="C223:D223"/>
    <mergeCell ref="E217:G217"/>
    <mergeCell ref="E219:G219"/>
    <mergeCell ref="D282:F282"/>
    <mergeCell ref="G131:N135"/>
    <mergeCell ref="G137:N141"/>
    <mergeCell ref="B136:D136"/>
    <mergeCell ref="D251:K251"/>
    <mergeCell ref="C261:F261"/>
    <mergeCell ref="C257:F257"/>
    <mergeCell ref="C290:F290"/>
    <mergeCell ref="D279:F279"/>
    <mergeCell ref="D280:F280"/>
    <mergeCell ref="O143:Y143"/>
    <mergeCell ref="C116:D116"/>
    <mergeCell ref="B132:D132"/>
    <mergeCell ref="D294:F294"/>
    <mergeCell ref="C304:F304"/>
    <mergeCell ref="B119:N119"/>
    <mergeCell ref="B118:D118"/>
    <mergeCell ref="B169:D169"/>
    <mergeCell ref="B173:D173"/>
    <mergeCell ref="B172:D172"/>
    <mergeCell ref="B174:D174"/>
    <mergeCell ref="C265:I265"/>
    <mergeCell ref="G168:N172"/>
    <mergeCell ref="G174:N178"/>
    <mergeCell ref="D298:F298"/>
    <mergeCell ref="D281:F281"/>
    <mergeCell ref="D271:F271"/>
    <mergeCell ref="D272:F272"/>
    <mergeCell ref="D296:F296"/>
    <mergeCell ref="I290:M290"/>
    <mergeCell ref="D274:F274"/>
    <mergeCell ref="D315:F315"/>
    <mergeCell ref="D302:F302"/>
    <mergeCell ref="D300:F300"/>
    <mergeCell ref="C334:F334"/>
    <mergeCell ref="D313:F313"/>
    <mergeCell ref="D320:H320"/>
    <mergeCell ref="B328:N328"/>
    <mergeCell ref="C308:F308"/>
    <mergeCell ref="C306:F306"/>
    <mergeCell ref="J334:M335"/>
    <mergeCell ref="V52:X52"/>
    <mergeCell ref="L215:N215"/>
    <mergeCell ref="I223:K223"/>
    <mergeCell ref="L217:N217"/>
    <mergeCell ref="L219:N219"/>
    <mergeCell ref="L221:N221"/>
    <mergeCell ref="L223:N223"/>
    <mergeCell ref="C227:K227"/>
    <mergeCell ref="C228:N245"/>
    <mergeCell ref="B143:D143"/>
    <mergeCell ref="B155:D155"/>
    <mergeCell ref="B164:C164"/>
    <mergeCell ref="B166:N166"/>
    <mergeCell ref="B157:N157"/>
    <mergeCell ref="B144:D144"/>
    <mergeCell ref="B150:D150"/>
    <mergeCell ref="B117:D117"/>
    <mergeCell ref="B96:D96"/>
    <mergeCell ref="B58:C58"/>
    <mergeCell ref="C94:D94"/>
    <mergeCell ref="P105:Q105"/>
    <mergeCell ref="B106:C106"/>
    <mergeCell ref="V107:X107"/>
    <mergeCell ref="B95:C95"/>
    <mergeCell ref="C395:G395"/>
    <mergeCell ref="D397:G397"/>
    <mergeCell ref="D401:G401"/>
    <mergeCell ref="D399:G399"/>
    <mergeCell ref="C364:F364"/>
    <mergeCell ref="C351:F351"/>
    <mergeCell ref="C362:F362"/>
    <mergeCell ref="C332:F332"/>
    <mergeCell ref="C335:I335"/>
    <mergeCell ref="C337:D337"/>
    <mergeCell ref="C339:D339"/>
    <mergeCell ref="D383:F383"/>
    <mergeCell ref="D385:F385"/>
    <mergeCell ref="D387:F387"/>
    <mergeCell ref="D389:F389"/>
    <mergeCell ref="D391:F391"/>
    <mergeCell ref="C345:F345"/>
    <mergeCell ref="C347:F347"/>
    <mergeCell ref="C352:F352"/>
    <mergeCell ref="C353:F353"/>
    <mergeCell ref="C378:F378"/>
    <mergeCell ref="C379:G379"/>
    <mergeCell ref="D381:F381"/>
    <mergeCell ref="C374:F374"/>
  </mergeCells>
  <conditionalFormatting sqref="B98">
    <cfRule type="expression" dxfId="964" priority="2738">
      <formula>B98&gt;""</formula>
    </cfRule>
  </conditionalFormatting>
  <conditionalFormatting sqref="B120">
    <cfRule type="expression" dxfId="963" priority="2155">
      <formula>B120&gt;""</formula>
    </cfRule>
  </conditionalFormatting>
  <conditionalFormatting sqref="B97:C97">
    <cfRule type="expression" dxfId="962" priority="729">
      <formula>AND(N95="",N96="",B97&lt;&gt;"")</formula>
    </cfRule>
    <cfRule type="expression" dxfId="961" priority="2473" stopIfTrue="1">
      <formula>AND(N96&gt;=0.7,N96&lt;&gt;0,N96&lt;=100%,B98="")</formula>
    </cfRule>
    <cfRule type="expression" dxfId="960" priority="2665" stopIfTrue="1">
      <formula>AND(N95&lt;&gt;"",N96&lt;0.7,B98="")</formula>
    </cfRule>
  </conditionalFormatting>
  <conditionalFormatting sqref="B119:D119">
    <cfRule type="expression" dxfId="959" priority="2150" stopIfTrue="1">
      <formula>AND(N118&gt;=0.7,B119&lt;&gt;"")</formula>
    </cfRule>
    <cfRule type="expression" dxfId="958" priority="2153" stopIfTrue="1">
      <formula>AND(N118&lt;0.7,B119&lt;&gt;"")</formula>
    </cfRule>
  </conditionalFormatting>
  <conditionalFormatting sqref="B157:D157">
    <cfRule type="expression" dxfId="957" priority="2706">
      <formula>B157&lt;&gt;""</formula>
    </cfRule>
  </conditionalFormatting>
  <conditionalFormatting sqref="B195:D195">
    <cfRule type="expression" dxfId="956" priority="1884">
      <formula>B195&lt;&gt;""</formula>
    </cfRule>
  </conditionalFormatting>
  <conditionalFormatting sqref="B81:F82">
    <cfRule type="expression" dxfId="955" priority="383">
      <formula>$B$81&lt;&gt;""</formula>
    </cfRule>
  </conditionalFormatting>
  <conditionalFormatting sqref="B210:F210">
    <cfRule type="expression" dxfId="954" priority="131">
      <formula>$C$210&lt;&gt;""</formula>
    </cfRule>
  </conditionalFormatting>
  <conditionalFormatting sqref="B74:N74">
    <cfRule type="expression" dxfId="953" priority="1037">
      <formula>AND(N73&gt;=0.7,B74&lt;&gt;"")</formula>
    </cfRule>
    <cfRule type="expression" dxfId="952" priority="1038">
      <formula>AND(N73&lt;0.7,B74&lt;&gt;"")</formula>
    </cfRule>
  </conditionalFormatting>
  <conditionalFormatting sqref="B75:N75">
    <cfRule type="expression" dxfId="951" priority="2401">
      <formula>B75&gt;""</formula>
    </cfRule>
  </conditionalFormatting>
  <conditionalFormatting sqref="B147:N147">
    <cfRule type="expression" dxfId="950" priority="2421">
      <formula>MOD(ROW(),2)=1</formula>
    </cfRule>
    <cfRule type="expression" dxfId="949" priority="2422">
      <formula>MOD(ROW(),2)=1</formula>
    </cfRule>
  </conditionalFormatting>
  <conditionalFormatting sqref="B153:N153">
    <cfRule type="expression" dxfId="948" priority="2413">
      <formula>MOD(ROW(),2)=1</formula>
    </cfRule>
    <cfRule type="expression" dxfId="947" priority="2414">
      <formula>MOD(ROW(),2)=1</formula>
    </cfRule>
  </conditionalFormatting>
  <conditionalFormatting sqref="B158:N158">
    <cfRule type="expression" dxfId="946" priority="2272">
      <formula>B158&lt;&gt;""</formula>
    </cfRule>
  </conditionalFormatting>
  <conditionalFormatting sqref="B196:N196">
    <cfRule type="expression" dxfId="945" priority="1849">
      <formula>B196&lt;&gt;""</formula>
    </cfRule>
  </conditionalFormatting>
  <conditionalFormatting sqref="C212">
    <cfRule type="expression" dxfId="944" priority="16112">
      <formula>AND(G210="No",G208="Yes")</formula>
    </cfRule>
  </conditionalFormatting>
  <conditionalFormatting sqref="C215">
    <cfRule type="expression" dxfId="943" priority="16015">
      <formula>$C$215&lt;&gt;""</formula>
    </cfRule>
  </conditionalFormatting>
  <conditionalFormatting sqref="C217">
    <cfRule type="expression" dxfId="942" priority="279">
      <formula>$C$217&lt;&gt;""</formula>
    </cfRule>
  </conditionalFormatting>
  <conditionalFormatting sqref="C219">
    <cfRule type="expression" dxfId="941" priority="278">
      <formula>$C$219&lt;&gt;""</formula>
    </cfRule>
  </conditionalFormatting>
  <conditionalFormatting sqref="C221">
    <cfRule type="expression" dxfId="940" priority="277">
      <formula>$C$221&lt;&gt;""</formula>
    </cfRule>
  </conditionalFormatting>
  <conditionalFormatting sqref="C223">
    <cfRule type="expression" dxfId="939" priority="276">
      <formula>$C$223&lt;&gt;""</formula>
    </cfRule>
  </conditionalFormatting>
  <conditionalFormatting sqref="C227">
    <cfRule type="expression" dxfId="938" priority="16113">
      <formula>$C$227&lt;&gt;""</formula>
    </cfRule>
  </conditionalFormatting>
  <conditionalFormatting sqref="C335">
    <cfRule type="expression" dxfId="937" priority="122">
      <formula>$G$330="No"</formula>
    </cfRule>
  </conditionalFormatting>
  <conditionalFormatting sqref="C145:D145">
    <cfRule type="expression" dxfId="936" priority="2423">
      <formula>MOD(ROW(),2)=1</formula>
    </cfRule>
    <cfRule type="expression" dxfId="935" priority="2424">
      <formula>MOD(ROW(),2)=1</formula>
    </cfRule>
  </conditionalFormatting>
  <conditionalFormatting sqref="C151:D151">
    <cfRule type="expression" dxfId="934" priority="2415">
      <formula>MOD(ROW(),2)=1</formula>
    </cfRule>
    <cfRule type="expression" dxfId="933" priority="2416">
      <formula>MOD(ROW(),2)=1</formula>
    </cfRule>
  </conditionalFormatting>
  <conditionalFormatting sqref="C248:D248">
    <cfRule type="expression" dxfId="932" priority="2749">
      <formula>G229&gt;=1</formula>
    </cfRule>
  </conditionalFormatting>
  <conditionalFormatting sqref="C337:D337">
    <cfRule type="expression" dxfId="931" priority="57">
      <formula>$C$337&lt;&gt;""</formula>
    </cfRule>
  </conditionalFormatting>
  <conditionalFormatting sqref="C339:D339">
    <cfRule type="expression" dxfId="930" priority="56">
      <formula>$C$339&lt;&gt;""</formula>
    </cfRule>
  </conditionalFormatting>
  <conditionalFormatting sqref="C341:D342">
    <cfRule type="expression" dxfId="929" priority="36">
      <formula>$C$341&lt;&gt;""</formula>
    </cfRule>
  </conditionalFormatting>
  <conditionalFormatting sqref="C39:F39">
    <cfRule type="expression" dxfId="928" priority="391">
      <formula>AND($G$37="No",$G$46="No")</formula>
    </cfRule>
  </conditionalFormatting>
  <conditionalFormatting sqref="C46:F46">
    <cfRule type="expression" dxfId="927" priority="389">
      <formula>AND($G$39&lt;&gt;0,$G$44="No")</formula>
    </cfRule>
  </conditionalFormatting>
  <conditionalFormatting sqref="C268:H282">
    <cfRule type="expression" dxfId="926" priority="1964">
      <formula>$G$257="Yes"</formula>
    </cfRule>
  </conditionalFormatting>
  <conditionalFormatting sqref="C267:I267">
    <cfRule type="expression" dxfId="925" priority="1974">
      <formula>$G$257="Yes"</formula>
    </cfRule>
  </conditionalFormatting>
  <conditionalFormatting sqref="C228:N228">
    <cfRule type="expression" dxfId="924" priority="16115">
      <formula>G208="No"</formula>
    </cfRule>
  </conditionalFormatting>
  <conditionalFormatting sqref="C229:N245">
    <cfRule type="expression" dxfId="923" priority="246">
      <formula>G211="No"</formula>
    </cfRule>
  </conditionalFormatting>
  <conditionalFormatting sqref="C418:N418">
    <cfRule type="expression" dxfId="922" priority="1643">
      <formula>D411&lt;&gt;""</formula>
    </cfRule>
  </conditionalFormatting>
  <conditionalFormatting sqref="C419:N419">
    <cfRule type="expression" dxfId="921" priority="1642">
      <formula>D411&lt;&gt;""</formula>
    </cfRule>
  </conditionalFormatting>
  <conditionalFormatting sqref="D391">
    <cfRule type="expression" dxfId="920" priority="92">
      <formula>G391="Yes"</formula>
    </cfRule>
  </conditionalFormatting>
  <conditionalFormatting sqref="D415">
    <cfRule type="expression" dxfId="919" priority="1112">
      <formula>D415&lt;&gt;""</formula>
    </cfRule>
  </conditionalFormatting>
  <conditionalFormatting sqref="D381:F381">
    <cfRule type="expression" dxfId="918" priority="97">
      <formula>G381="Yes"</formula>
    </cfRule>
  </conditionalFormatting>
  <conditionalFormatting sqref="D383:F383">
    <cfRule type="expression" dxfId="917" priority="96">
      <formula>G383="Yes"</formula>
    </cfRule>
  </conditionalFormatting>
  <conditionalFormatting sqref="D385:F385">
    <cfRule type="expression" dxfId="916" priority="95">
      <formula>G385="Yes"</formula>
    </cfRule>
  </conditionalFormatting>
  <conditionalFormatting sqref="D387:F387">
    <cfRule type="expression" dxfId="915" priority="94">
      <formula>G387="Yes"</formula>
    </cfRule>
  </conditionalFormatting>
  <conditionalFormatting sqref="D389:F389">
    <cfRule type="expression" dxfId="914" priority="93">
      <formula>G389="Yes"</formula>
    </cfRule>
  </conditionalFormatting>
  <conditionalFormatting sqref="D393:G393">
    <cfRule type="expression" dxfId="913" priority="1">
      <formula>$G$391="Yes"</formula>
    </cfRule>
  </conditionalFormatting>
  <conditionalFormatting sqref="D397:G397">
    <cfRule type="expression" dxfId="912" priority="112">
      <formula>$C$395&lt;&gt;""</formula>
    </cfRule>
  </conditionalFormatting>
  <conditionalFormatting sqref="D399:G399">
    <cfRule type="expression" dxfId="911" priority="111">
      <formula>$C$395&lt;&gt;""</formula>
    </cfRule>
  </conditionalFormatting>
  <conditionalFormatting sqref="D401:G401">
    <cfRule type="expression" dxfId="910" priority="110">
      <formula>$C$395&lt;&gt;""</formula>
    </cfRule>
  </conditionalFormatting>
  <conditionalFormatting sqref="E56:E59 F88:M90 E88:E93 F111:L111 E111:E116 F57:M58 E61:E64 F64:M64 E66:E71 F69:M71 F91:N91 E95:N95 F112:M114 E117:M117 E132:E133 E167:E168 F181:M181 F187:M187 F193:M193">
    <cfRule type="expression" dxfId="909" priority="724">
      <formula>AND($D$4&lt;&gt;YEAR($E$58), $E$58&lt;&gt;0)</formula>
    </cfRule>
  </conditionalFormatting>
  <conditionalFormatting sqref="E71:E73 F72:M72">
    <cfRule type="expression" dxfId="908" priority="1302">
      <formula>AND($E$72&gt;100%,$E$71&lt;&gt;"")</formula>
    </cfRule>
  </conditionalFormatting>
  <conditionalFormatting sqref="E73">
    <cfRule type="expression" dxfId="907" priority="2343">
      <formula>AND($E$73&lt;0.7,$E$72&lt;=100%,$E$72&gt;0,$B$75="")</formula>
    </cfRule>
    <cfRule type="expression" dxfId="906" priority="2344">
      <formula>AND($E$73&gt;=0.7,$E$73&lt;&gt;"",$B$75="")</formula>
    </cfRule>
  </conditionalFormatting>
  <conditionalFormatting sqref="E91">
    <cfRule type="expression" dxfId="905" priority="696">
      <formula>AND(E91&lt;E92,B98&lt;&gt;"")</formula>
    </cfRule>
  </conditionalFormatting>
  <conditionalFormatting sqref="E92">
    <cfRule type="expression" dxfId="904" priority="11213">
      <formula>AND(E94&gt;E92,B98&lt;&gt;"")</formula>
    </cfRule>
  </conditionalFormatting>
  <conditionalFormatting sqref="E93">
    <cfRule type="expression" dxfId="903" priority="698">
      <formula>AND(E93&lt;&gt;"",E94&lt;&gt;"",E93&gt;E94,B98&lt;&gt;"")</formula>
    </cfRule>
  </conditionalFormatting>
  <conditionalFormatting sqref="E117:E118 E114">
    <cfRule type="expression" dxfId="902" priority="2151" stopIfTrue="1">
      <formula>AND($E$118&gt;100%,$E$117&lt;&gt;"")</formula>
    </cfRule>
  </conditionalFormatting>
  <conditionalFormatting sqref="E118">
    <cfRule type="expression" dxfId="901" priority="2141" stopIfTrue="1">
      <formula>AND($E$118&gt;=0.7,$E$118&lt;=100%,$B$120="")</formula>
    </cfRule>
    <cfRule type="expression" dxfId="900" priority="2152" stopIfTrue="1">
      <formula>AND($E$118&lt;0.7,$E$115&lt;&gt;"",$E$116&lt;&gt;"",$B$120="")</formula>
    </cfRule>
  </conditionalFormatting>
  <conditionalFormatting sqref="E130">
    <cfRule type="expression" dxfId="899" priority="368">
      <formula>AND($D$4&lt;&gt;YEAR($F$58), $F$58&lt;&gt;0)</formula>
    </cfRule>
  </conditionalFormatting>
  <conditionalFormatting sqref="E132">
    <cfRule type="expression" dxfId="898" priority="366">
      <formula>$O$132&lt;&gt;""</formula>
    </cfRule>
    <cfRule type="expression" dxfId="897" priority="375">
      <formula>$E$131&lt;$E$132</formula>
    </cfRule>
  </conditionalFormatting>
  <conditionalFormatting sqref="E133">
    <cfRule type="expression" dxfId="896" priority="364">
      <formula>$O$133&lt;&gt;""</formula>
    </cfRule>
    <cfRule type="expression" dxfId="895" priority="372">
      <formula>AND($E$131&lt;&gt;"",$E$132&lt;&gt;"",$E$133&gt;$E$132)</formula>
    </cfRule>
  </conditionalFormatting>
  <conditionalFormatting sqref="E156">
    <cfRule type="expression" dxfId="894" priority="2658">
      <formula>AND($E$156=100%,$B$158="")</formula>
    </cfRule>
    <cfRule type="expression" dxfId="893" priority="2289">
      <formula>AND(E156&lt;100%,E156&lt;&gt;"",B158="")</formula>
    </cfRule>
  </conditionalFormatting>
  <conditionalFormatting sqref="E170">
    <cfRule type="expression" dxfId="892" priority="361">
      <formula>$O$170&lt;&gt;""</formula>
    </cfRule>
  </conditionalFormatting>
  <conditionalFormatting sqref="E171">
    <cfRule type="expression" dxfId="891" priority="360">
      <formula>$O$171&lt;&gt;""</formula>
    </cfRule>
  </conditionalFormatting>
  <conditionalFormatting sqref="E194">
    <cfRule type="expression" dxfId="890" priority="1881">
      <formula>AND($E$194=100%,$B$196="")</formula>
    </cfRule>
    <cfRule type="expression" dxfId="889" priority="1851">
      <formula>AND(E194&lt;100%,E194&lt;&gt;"",B196="")</formula>
    </cfRule>
  </conditionalFormatting>
  <conditionalFormatting sqref="E337">
    <cfRule type="expression" dxfId="888" priority="87">
      <formula>AND(G330="Yes",G332&gt;=1,$C$335&lt;&gt;"")</formula>
    </cfRule>
    <cfRule type="expression" dxfId="887" priority="35">
      <formula>AND($G$330="Yes",$E$336&lt;&gt;"",$E$337="")</formula>
    </cfRule>
  </conditionalFormatting>
  <conditionalFormatting sqref="E339">
    <cfRule type="expression" dxfId="886" priority="20">
      <formula>AND($G$330="Yes",$E$336&lt;&gt;"",$E$339="")</formula>
    </cfRule>
    <cfRule type="expression" dxfId="885" priority="73">
      <formula>AND(G330="Yes",G332&gt;=1,C335&lt;&gt;"")</formula>
    </cfRule>
  </conditionalFormatting>
  <conditionalFormatting sqref="E215:G215">
    <cfRule type="expression" dxfId="884" priority="16017">
      <formula>$C$215&lt;&gt;""</formula>
    </cfRule>
  </conditionalFormatting>
  <conditionalFormatting sqref="E217:G217">
    <cfRule type="expression" dxfId="883" priority="270">
      <formula>$C$217&lt;&gt;""</formula>
    </cfRule>
  </conditionalFormatting>
  <conditionalFormatting sqref="E219:G219">
    <cfRule type="expression" dxfId="882" priority="269">
      <formula>$C$219&lt;&gt;""</formula>
    </cfRule>
  </conditionalFormatting>
  <conditionalFormatting sqref="E221:G221">
    <cfRule type="expression" dxfId="881" priority="265">
      <formula>$C$221&lt;&gt;""</formula>
    </cfRule>
  </conditionalFormatting>
  <conditionalFormatting sqref="E223:G223">
    <cfRule type="expression" dxfId="880" priority="263">
      <formula>$C$223&lt;&gt;""</formula>
    </cfRule>
  </conditionalFormatting>
  <conditionalFormatting sqref="E248:G248">
    <cfRule type="expression" dxfId="879" priority="2794">
      <formula>#REF!&gt;=1</formula>
    </cfRule>
  </conditionalFormatting>
  <conditionalFormatting sqref="E56:L56">
    <cfRule type="expression" dxfId="878" priority="313">
      <formula>OR($E$56="No Graduates",$E$56="No Primary")</formula>
    </cfRule>
  </conditionalFormatting>
  <conditionalFormatting sqref="E88:L88">
    <cfRule type="expression" dxfId="877" priority="311">
      <formula>OR($E$88="No Graduates",$E$88="No Primary")</formula>
    </cfRule>
  </conditionalFormatting>
  <conditionalFormatting sqref="E111:L111">
    <cfRule type="expression" dxfId="876" priority="309">
      <formula>OR($E$111="No Graduates",$E$111="No Primary")</formula>
    </cfRule>
  </conditionalFormatting>
  <conditionalFormatting sqref="E96:M96">
    <cfRule type="expression" dxfId="875" priority="2364" stopIfTrue="1">
      <formula>AND(E$96&gt;=0.7,E$96&lt;=100%,$B$98="")</formula>
    </cfRule>
    <cfRule type="expression" dxfId="874" priority="2652" stopIfTrue="1">
      <formula>AND(E$96&lt;0.7,E$92&lt;&gt;"",E$93&lt;&gt;"",E$94&lt;&gt;"",$B$98="")</formula>
    </cfRule>
  </conditionalFormatting>
  <conditionalFormatting sqref="E340:S340 U340">
    <cfRule type="expression" dxfId="873" priority="187">
      <formula>$I$318&gt;100</formula>
    </cfRule>
  </conditionalFormatting>
  <conditionalFormatting sqref="F59 F56 F61:F63 F66:F68 F92:F94 E94 F115:F116">
    <cfRule type="expression" dxfId="872" priority="2400">
      <formula>AND($D$4&lt;&gt;YEAR($F$58), $F$58&lt;&gt;0)</formula>
    </cfRule>
  </conditionalFormatting>
  <conditionalFormatting sqref="F71 F73">
    <cfRule type="expression" dxfId="871" priority="1301">
      <formula>AND($F$72&gt;100%,$F$71&lt;&gt;"")</formula>
    </cfRule>
  </conditionalFormatting>
  <conditionalFormatting sqref="F73 F71 F59">
    <cfRule type="expression" dxfId="870" priority="2399" stopIfTrue="1">
      <formula>AND($F$72&gt;100%,$F$71&lt;&gt;"")</formula>
    </cfRule>
  </conditionalFormatting>
  <conditionalFormatting sqref="F73">
    <cfRule type="expression" dxfId="869" priority="2398">
      <formula>AND($F$73&lt;0.7,$F$72&lt;=100%,$F$72&gt;0,$B$75="")</formula>
    </cfRule>
    <cfRule type="expression" dxfId="868" priority="2397">
      <formula>AND($F$73&gt;=0.7,$F$73&lt;&gt;"",$B$75="")</formula>
    </cfRule>
  </conditionalFormatting>
  <conditionalFormatting sqref="F91">
    <cfRule type="expression" dxfId="867" priority="695">
      <formula>AND(F91&lt;F92,B98&lt;&gt;"")</formula>
    </cfRule>
  </conditionalFormatting>
  <conditionalFormatting sqref="F92">
    <cfRule type="expression" dxfId="866" priority="11215">
      <formula>AND(F94&gt;F92,B98&lt;&gt;"")</formula>
    </cfRule>
  </conditionalFormatting>
  <conditionalFormatting sqref="F93">
    <cfRule type="expression" dxfId="865" priority="679">
      <formula>AND(F93&lt;&gt;"",F94&lt;&gt;"",F93&gt;F94,B98&lt;&gt;"")</formula>
    </cfRule>
  </conditionalFormatting>
  <conditionalFormatting sqref="F94">
    <cfRule type="expression" dxfId="864" priority="11231">
      <formula>AND(F93&gt;F94,F93&lt;&gt;"",F94&lt;&gt;"")</formula>
    </cfRule>
  </conditionalFormatting>
  <conditionalFormatting sqref="F117:F118 F114">
    <cfRule type="expression" dxfId="863" priority="2130">
      <formula>AND($F$118&gt;100%,$F$117&lt;&gt;"")</formula>
    </cfRule>
  </conditionalFormatting>
  <conditionalFormatting sqref="F118">
    <cfRule type="expression" dxfId="862" priority="792">
      <formula>AND($F$118&gt;=0.7,$F$118&lt;=100%,$B$120="")</formula>
    </cfRule>
    <cfRule type="expression" dxfId="861" priority="606">
      <formula>AND($F$118&gt;100%,$F$117&lt;&gt;"")</formula>
    </cfRule>
    <cfRule type="expression" dxfId="860" priority="800">
      <formula>AND($F$118&lt;0.7,$F$115&lt;&gt;"",$F$116&lt;&gt;"",$B$120="")</formula>
    </cfRule>
  </conditionalFormatting>
  <conditionalFormatting sqref="F149 O149">
    <cfRule type="expression" dxfId="859" priority="1995">
      <formula>AND($F$149&gt;$F$136,$F$149&lt;&gt;"")</formula>
    </cfRule>
    <cfRule type="expression" dxfId="858" priority="1711">
      <formula>AND($F$149&lt;$F$136,$F$149&lt;&gt;"")</formula>
    </cfRule>
    <cfRule type="expression" dxfId="857" priority="2234">
      <formula>AND($F$149&lt;&gt;$F$136,$F$136&lt;&gt;"",$F$149="")</formula>
    </cfRule>
  </conditionalFormatting>
  <conditionalFormatting sqref="F155 O155">
    <cfRule type="expression" dxfId="856" priority="2225">
      <formula>AND($F$155&lt;&gt;$F$136,$F$136&lt;&gt;"",$F$155="")</formula>
    </cfRule>
    <cfRule type="expression" dxfId="855" priority="1702">
      <formula>AND($F$155&lt;$F$136,$F$155&lt;&gt;"")</formula>
    </cfRule>
    <cfRule type="expression" dxfId="854" priority="1986">
      <formula>AND($F$155&gt;$F$136,$F$155&lt;&gt;"")</formula>
    </cfRule>
  </conditionalFormatting>
  <conditionalFormatting sqref="F156">
    <cfRule type="expression" dxfId="853" priority="1914">
      <formula>AND($F$156=100%,$B$158="")</formula>
    </cfRule>
    <cfRule type="expression" dxfId="852" priority="1900">
      <formula>AND(F156&lt;100%,F156&lt;&gt;"",B158="")</formula>
    </cfRule>
  </conditionalFormatting>
  <conditionalFormatting sqref="F187">
    <cfRule type="expression" dxfId="851" priority="1791">
      <formula>AND($F$187&gt;$F$174,$F$187&lt;&gt;"")</formula>
    </cfRule>
    <cfRule type="expression" dxfId="850" priority="1668">
      <formula>AND($F$187&lt;$F$174,$F$187&lt;&gt;"")</formula>
    </cfRule>
    <cfRule type="expression" dxfId="849" priority="1820">
      <formula>AND($F$187&lt;&gt;$F$174,$F$174&lt;&gt;"",$F$187="")</formula>
    </cfRule>
  </conditionalFormatting>
  <conditionalFormatting sqref="F193">
    <cfRule type="expression" dxfId="848" priority="1782">
      <formula>AND($F$193&gt;$F$174,$F$193&lt;&gt;"")</formula>
    </cfRule>
    <cfRule type="expression" dxfId="847" priority="1811">
      <formula>AND($F$193&lt;&gt;$F$174,$F$174&lt;&gt;"",$F$193="")</formula>
    </cfRule>
    <cfRule type="expression" dxfId="846" priority="1659">
      <formula>AND($F$193&lt;$F$174,$F$193&lt;&gt;"")</formula>
    </cfRule>
  </conditionalFormatting>
  <conditionalFormatting sqref="F194">
    <cfRule type="expression" dxfId="845" priority="1028">
      <formula>AND(F194&lt;100%,F194&lt;&gt;"",B196="")</formula>
    </cfRule>
    <cfRule type="expression" dxfId="844" priority="1036">
      <formula>AND($F$194=100%,$B$196="")</formula>
    </cfRule>
  </conditionalFormatting>
  <conditionalFormatting sqref="F337">
    <cfRule type="expression" dxfId="843" priority="86">
      <formula>AND(G330="Yes",G332&gt;=2,C335&lt;&gt;"")</formula>
    </cfRule>
    <cfRule type="expression" dxfId="842" priority="34">
      <formula>AND($G$330="Yes",$F$336&lt;&gt;"",$F$337="")</formula>
    </cfRule>
  </conditionalFormatting>
  <conditionalFormatting sqref="F339">
    <cfRule type="expression" dxfId="841" priority="72">
      <formula>AND(G330="Yes",G332&gt;=2,C335&lt;&gt;"")</formula>
    </cfRule>
    <cfRule type="expression" dxfId="840" priority="19">
      <formula>AND($G$330="Yes",$F$336&lt;&gt;"",$F$339="")</formula>
    </cfRule>
  </conditionalFormatting>
  <conditionalFormatting sqref="G39">
    <cfRule type="expression" dxfId="839" priority="430">
      <formula>$G$37="Yes"</formula>
    </cfRule>
    <cfRule type="expression" dxfId="838" priority="390">
      <formula>$G$37="No"</formula>
    </cfRule>
  </conditionalFormatting>
  <conditionalFormatting sqref="G44">
    <cfRule type="expression" dxfId="837" priority="295">
      <formula>$G$39&lt;&gt;"Satellite(s) Only"</formula>
    </cfRule>
  </conditionalFormatting>
  <conditionalFormatting sqref="G46">
    <cfRule type="expression" dxfId="836" priority="387">
      <formula>(OR(AND($G$39&gt;=1,$G$44="Yes"),AND($G$39=0,$G$44="Yes")))</formula>
    </cfRule>
    <cfRule type="expression" dxfId="835" priority="388">
      <formula>$G$44="No"</formula>
    </cfRule>
  </conditionalFormatting>
  <conditionalFormatting sqref="G56 G59 G61:G63 G66:G68 G92:G94 G115:G116 G144:G148 G182:G186 G188:G192">
    <cfRule type="expression" dxfId="834" priority="2396">
      <formula>AND($D$4&lt;&gt;YEAR($G$58), $G$58&lt;&gt;0)</formula>
    </cfRule>
  </conditionalFormatting>
  <conditionalFormatting sqref="G73 G71">
    <cfRule type="expression" dxfId="833" priority="2474" stopIfTrue="1">
      <formula>AND($G$72&gt;100%,$G$71&lt;&gt;"")</formula>
    </cfRule>
  </conditionalFormatting>
  <conditionalFormatting sqref="G73">
    <cfRule type="expression" dxfId="832" priority="2342">
      <formula>AND($G$73&lt;0.7,$G$72&lt;=100%,$G$72&gt;0,$B$75="")</formula>
    </cfRule>
    <cfRule type="expression" dxfId="831" priority="2335">
      <formula>AND($G$73&gt;=0.7,$G$73&lt;&gt;"",$B$75="")</formula>
    </cfRule>
  </conditionalFormatting>
  <conditionalFormatting sqref="G91">
    <cfRule type="expression" dxfId="830" priority="694">
      <formula>AND(G91&lt;G92,B98&lt;&gt;"")</formula>
    </cfRule>
  </conditionalFormatting>
  <conditionalFormatting sqref="G92">
    <cfRule type="expression" dxfId="829" priority="11217">
      <formula>AND(G94&gt;G92,B98&lt;&gt;"")</formula>
    </cfRule>
  </conditionalFormatting>
  <conditionalFormatting sqref="G93">
    <cfRule type="expression" dxfId="828" priority="678">
      <formula>AND(G93&lt;&gt;"",G94&lt;&gt;"",G93&gt;G94,B98&lt;&gt;"")</formula>
    </cfRule>
  </conditionalFormatting>
  <conditionalFormatting sqref="G94">
    <cfRule type="expression" dxfId="827" priority="701">
      <formula>"AND(G85&gt;G86,G85&lt;&gt;"""",G86&lt;&gt;"""")"</formula>
    </cfRule>
  </conditionalFormatting>
  <conditionalFormatting sqref="G96">
    <cfRule type="expression" dxfId="826" priority="780">
      <formula>AND($G$96&lt;0.7,$G$93&lt;&gt;"",$G$94&lt;&gt;"",$B$98="")</formula>
    </cfRule>
    <cfRule type="expression" dxfId="825" priority="764">
      <formula>AND($G$96&gt;=0.7,$G$96&lt;=100%,G96&lt;&gt;0,$B$98="")</formula>
    </cfRule>
  </conditionalFormatting>
  <conditionalFormatting sqref="G117:G118 G114">
    <cfRule type="expression" dxfId="824" priority="1922">
      <formula>AND($G$118&gt;100%,$G$117&lt;&gt;"")</formula>
    </cfRule>
  </conditionalFormatting>
  <conditionalFormatting sqref="G118">
    <cfRule type="expression" dxfId="823" priority="799">
      <formula>AND($G$118&lt;0.7,$G$115&lt;&gt;"",$G$116&lt;&gt;"",$B$120="")</formula>
    </cfRule>
    <cfRule type="expression" dxfId="822" priority="791">
      <formula>AND($G$118&gt;=0.7,$G$118&lt;=100%,$B$120="")</formula>
    </cfRule>
    <cfRule type="expression" dxfId="821" priority="605">
      <formula>AND($G$118&gt;100%,$G$117&lt;&gt;"")</formula>
    </cfRule>
  </conditionalFormatting>
  <conditionalFormatting sqref="G149 O149">
    <cfRule type="expression" dxfId="820" priority="2233">
      <formula>AND($G$149&lt;&gt;$G$136,$G$136&lt;&gt;"",$G$149="")</formula>
    </cfRule>
    <cfRule type="expression" dxfId="819" priority="1994">
      <formula>AND($G$149&gt;$G$136,$G$149&lt;&gt;"")</formula>
    </cfRule>
    <cfRule type="expression" dxfId="818" priority="1710">
      <formula>AND($G$149&lt;$G$136,$G$149&lt;&gt;"")</formula>
    </cfRule>
  </conditionalFormatting>
  <conditionalFormatting sqref="G155 O155">
    <cfRule type="expression" dxfId="817" priority="1701">
      <formula>AND($G$155&lt;$G$136,$G$155&lt;&gt;"")</formula>
    </cfRule>
    <cfRule type="expression" dxfId="816" priority="1985">
      <formula>AND($G$155&gt;$G$136,$G$155&lt;&gt;"")</formula>
    </cfRule>
    <cfRule type="expression" dxfId="815" priority="2224">
      <formula>AND($G$155&lt;&gt;$G$136,$G$136&lt;&gt;"",$G$155="")</formula>
    </cfRule>
  </conditionalFormatting>
  <conditionalFormatting sqref="G156">
    <cfRule type="expression" dxfId="814" priority="1913">
      <formula>AND($G$156=100%,$B$158="")</formula>
    </cfRule>
    <cfRule type="expression" dxfId="813" priority="1899">
      <formula>AND(G156&lt;100%,G156&lt;&gt;"",B158="")</formula>
    </cfRule>
  </conditionalFormatting>
  <conditionalFormatting sqref="G187">
    <cfRule type="expression" dxfId="812" priority="1667">
      <formula>AND($G$187&lt;$G$174,$G$187&lt;&gt;"")</formula>
    </cfRule>
    <cfRule type="expression" dxfId="811" priority="1790">
      <formula>AND($G$187&gt;$G$174,$G$187&lt;&gt;"")</formula>
    </cfRule>
    <cfRule type="expression" dxfId="810" priority="1819">
      <formula>AND($G$187&lt;&gt;$G$174,$G$174&lt;&gt;"",$G$187="")</formula>
    </cfRule>
  </conditionalFormatting>
  <conditionalFormatting sqref="G193">
    <cfRule type="expression" dxfId="809" priority="1781">
      <formula>AND($G$193&gt;$G$174,$G$193&lt;&gt;"")</formula>
    </cfRule>
    <cfRule type="expression" dxfId="808" priority="1658">
      <formula>AND($G$193&lt;$G$174,$G$193&lt;&gt;"")</formula>
    </cfRule>
    <cfRule type="expression" dxfId="807" priority="1810">
      <formula>AND($G$193&lt;&gt;$G$174,$G$174&lt;&gt;"",$G$193="")</formula>
    </cfRule>
  </conditionalFormatting>
  <conditionalFormatting sqref="G194">
    <cfRule type="expression" dxfId="806" priority="1027">
      <formula>AND(G194&lt;100%,G194&lt;&gt;"",B196="")</formula>
    </cfRule>
    <cfRule type="expression" dxfId="805" priority="1035">
      <formula>AND($G$194=100%,$B$196="")</formula>
    </cfRule>
  </conditionalFormatting>
  <conditionalFormatting sqref="G259">
    <cfRule type="expression" dxfId="804" priority="1978">
      <formula>$G$257="Yes"</formula>
    </cfRule>
  </conditionalFormatting>
  <conditionalFormatting sqref="G261">
    <cfRule type="expression" dxfId="803" priority="1977">
      <formula>$G$257="Yes"</formula>
    </cfRule>
  </conditionalFormatting>
  <conditionalFormatting sqref="G263">
    <cfRule type="expression" dxfId="802" priority="1976">
      <formula>$G$257="Yes"</formula>
    </cfRule>
  </conditionalFormatting>
  <conditionalFormatting sqref="G327">
    <cfRule type="expression" dxfId="801" priority="353">
      <formula>$I$318&gt;100</formula>
    </cfRule>
  </conditionalFormatting>
  <conditionalFormatting sqref="G332">
    <cfRule type="expression" dxfId="800" priority="88">
      <formula>B332&lt;&gt;""</formula>
    </cfRule>
  </conditionalFormatting>
  <conditionalFormatting sqref="G337">
    <cfRule type="expression" dxfId="799" priority="33">
      <formula>AND($G$330="Yes",$G$336&lt;&gt;"",$G$337="")</formula>
    </cfRule>
    <cfRule type="expression" dxfId="798" priority="70">
      <formula>AND(G330="Yes",G332&gt;=3,C335&lt;&gt;"")</formula>
    </cfRule>
  </conditionalFormatting>
  <conditionalFormatting sqref="G339">
    <cfRule type="expression" dxfId="797" priority="18">
      <formula>AND($G$330="Yes",$G$336&lt;&gt;"",$G$339="")</formula>
    </cfRule>
    <cfRule type="expression" dxfId="796" priority="71">
      <formula>AND(G330="Yes",G332&gt;=3,C335&lt;&gt;"")</formula>
    </cfRule>
  </conditionalFormatting>
  <conditionalFormatting sqref="G341">
    <cfRule type="expression" dxfId="795" priority="16151">
      <formula>$G$341&lt;&gt;""</formula>
    </cfRule>
  </conditionalFormatting>
  <conditionalFormatting sqref="G343">
    <cfRule type="expression" dxfId="794" priority="105">
      <formula>$B$343&lt;&gt;""</formula>
    </cfRule>
  </conditionalFormatting>
  <conditionalFormatting sqref="G347">
    <cfRule type="expression" dxfId="793" priority="54">
      <formula>$C$347&lt;&gt;""</formula>
    </cfRule>
  </conditionalFormatting>
  <conditionalFormatting sqref="G350">
    <cfRule type="expression" dxfId="792" priority="117">
      <formula>$C$350&lt;&gt;""</formula>
    </cfRule>
  </conditionalFormatting>
  <conditionalFormatting sqref="G352">
    <cfRule type="expression" dxfId="791" priority="104">
      <formula>$C$350&lt;&gt;""</formula>
    </cfRule>
  </conditionalFormatting>
  <conditionalFormatting sqref="G354">
    <cfRule type="expression" dxfId="790" priority="53">
      <formula>B343&lt;&gt;""</formula>
    </cfRule>
  </conditionalFormatting>
  <conditionalFormatting sqref="G356">
    <cfRule type="expression" dxfId="789" priority="174">
      <formula>$C$356&lt;&gt;""</formula>
    </cfRule>
  </conditionalFormatting>
  <conditionalFormatting sqref="G358">
    <cfRule type="expression" dxfId="788" priority="173">
      <formula>$C$358&lt;&gt;""</formula>
    </cfRule>
  </conditionalFormatting>
  <conditionalFormatting sqref="G360">
    <cfRule type="expression" dxfId="787" priority="172">
      <formula>$C$360&lt;&gt;""</formula>
    </cfRule>
  </conditionalFormatting>
  <conditionalFormatting sqref="G362">
    <cfRule type="expression" dxfId="786" priority="171">
      <formula>$C$362&lt;&gt;""</formula>
    </cfRule>
  </conditionalFormatting>
  <conditionalFormatting sqref="G364">
    <cfRule type="expression" dxfId="785" priority="168">
      <formula>$C$364&lt;&gt;""</formula>
    </cfRule>
  </conditionalFormatting>
  <conditionalFormatting sqref="G366">
    <cfRule type="expression" dxfId="784" priority="128">
      <formula>$C$366&lt;&gt;""</formula>
    </cfRule>
  </conditionalFormatting>
  <conditionalFormatting sqref="G368">
    <cfRule type="expression" dxfId="783" priority="127">
      <formula>$C$368&lt;&gt;""</formula>
    </cfRule>
  </conditionalFormatting>
  <conditionalFormatting sqref="G370">
    <cfRule type="expression" dxfId="782" priority="126">
      <formula>$C$370&lt;&gt;""</formula>
    </cfRule>
  </conditionalFormatting>
  <conditionalFormatting sqref="G372">
    <cfRule type="expression" dxfId="781" priority="125">
      <formula>$C$372&lt;&gt;""</formula>
    </cfRule>
  </conditionalFormatting>
  <conditionalFormatting sqref="G374">
    <cfRule type="expression" dxfId="780" priority="124">
      <formula>$C$374&lt;&gt;""</formula>
    </cfRule>
  </conditionalFormatting>
  <conditionalFormatting sqref="G381">
    <cfRule type="expression" dxfId="779" priority="49">
      <formula>$B$343&lt;&gt;""</formula>
    </cfRule>
  </conditionalFormatting>
  <conditionalFormatting sqref="G383">
    <cfRule type="expression" dxfId="778" priority="48">
      <formula>$B$343&lt;&gt;""</formula>
    </cfRule>
  </conditionalFormatting>
  <conditionalFormatting sqref="G385">
    <cfRule type="expression" dxfId="777" priority="47">
      <formula>$B$343&lt;&gt;""</formula>
    </cfRule>
  </conditionalFormatting>
  <conditionalFormatting sqref="G387">
    <cfRule type="expression" dxfId="776" priority="46">
      <formula>$B$343&lt;&gt;""</formula>
    </cfRule>
  </conditionalFormatting>
  <conditionalFormatting sqref="G389">
    <cfRule type="expression" dxfId="775" priority="45">
      <formula>$B$343&lt;&gt;""</formula>
    </cfRule>
  </conditionalFormatting>
  <conditionalFormatting sqref="G391">
    <cfRule type="expression" dxfId="774" priority="44">
      <formula>$B$343&lt;&gt;""</formula>
    </cfRule>
  </conditionalFormatting>
  <conditionalFormatting sqref="G81:H82">
    <cfRule type="expression" dxfId="773" priority="727">
      <formula>$B$81&lt;&gt;""</formula>
    </cfRule>
  </conditionalFormatting>
  <conditionalFormatting sqref="G84:H84">
    <cfRule type="expression" dxfId="772" priority="730">
      <formula>G81="No"</formula>
    </cfRule>
    <cfRule type="expression" dxfId="771" priority="726">
      <formula>AND($G$81="No",$G$84="")</formula>
    </cfRule>
  </conditionalFormatting>
  <conditionalFormatting sqref="G210:H210">
    <cfRule type="expression" dxfId="770" priority="130">
      <formula>$G$208="Yes"</formula>
    </cfRule>
  </conditionalFormatting>
  <conditionalFormatting sqref="G212:H212">
    <cfRule type="expression" dxfId="769" priority="16110">
      <formula>AND(G210="No",G208="Yes")</formula>
    </cfRule>
  </conditionalFormatting>
  <conditionalFormatting sqref="G407:I407">
    <cfRule type="expression" dxfId="768" priority="376">
      <formula>$G405="No"</formula>
    </cfRule>
  </conditionalFormatting>
  <conditionalFormatting sqref="G376:N376">
    <cfRule type="expression" dxfId="767" priority="3">
      <formula>$C$376&lt;&gt;""</formula>
    </cfRule>
  </conditionalFormatting>
  <conditionalFormatting sqref="H56 H59 H61:H63 H66:H68 H92:H94 H115:H116 H180">
    <cfRule type="expression" dxfId="766" priority="771">
      <formula>AND($D$4&lt;&gt;YEAR($H$58), $H$58&lt;&gt;0)</formula>
    </cfRule>
  </conditionalFormatting>
  <conditionalFormatting sqref="H59">
    <cfRule type="expression" dxfId="765" priority="1906">
      <formula>AND($H$72&gt;100%,$H$71&lt;&gt;"")</formula>
    </cfRule>
  </conditionalFormatting>
  <conditionalFormatting sqref="H73 H71">
    <cfRule type="expression" dxfId="764" priority="2388">
      <formula>AND($H$72&gt;100%,$H$71&lt;&gt;"")</formula>
    </cfRule>
  </conditionalFormatting>
  <conditionalFormatting sqref="H73">
    <cfRule type="expression" dxfId="763" priority="1746">
      <formula>AND($H$73&lt;0.7,$H$72&lt;=100%,$H$72&gt;0,$B$75="")</formula>
    </cfRule>
    <cfRule type="expression" dxfId="762" priority="1044">
      <formula>AND($H$73&gt;=0.7,$H$73&lt;&gt;"",$B$75="")</formula>
    </cfRule>
  </conditionalFormatting>
  <conditionalFormatting sqref="H91">
    <cfRule type="expression" dxfId="761" priority="693">
      <formula>AND(H91&lt;H92,B98&lt;&gt;"")</formula>
    </cfRule>
  </conditionalFormatting>
  <conditionalFormatting sqref="H92">
    <cfRule type="expression" dxfId="760" priority="11219">
      <formula>AND(H94&gt;H92,B98&lt;&gt;"")</formula>
    </cfRule>
  </conditionalFormatting>
  <conditionalFormatting sqref="H93">
    <cfRule type="expression" dxfId="759" priority="677">
      <formula>AND(H93&lt;&gt;"",H94&lt;&gt;"",H93&gt;H94,B98&lt;&gt;"")</formula>
    </cfRule>
  </conditionalFormatting>
  <conditionalFormatting sqref="H96">
    <cfRule type="expression" dxfId="758" priority="779">
      <formula>AND($H$96&lt;0.7,$H$93&lt;&gt;"",$H$94&lt;&gt;"",$B$98="")</formula>
    </cfRule>
    <cfRule type="expression" dxfId="757" priority="763">
      <formula>AND($H$96&gt;=0.7,$H$96&lt;=100%,H96&lt;&gt;0,$B$98="")</formula>
    </cfRule>
  </conditionalFormatting>
  <conditionalFormatting sqref="H117:H118 H114">
    <cfRule type="expression" dxfId="756" priority="2111">
      <formula>AND($H$118&gt;100%,$H$117&lt;&gt;"")</formula>
    </cfRule>
  </conditionalFormatting>
  <conditionalFormatting sqref="H118">
    <cfRule type="expression" dxfId="755" priority="790">
      <formula>AND($H$118&gt;=0.7,$H$118&lt;=100%,$B$120="")</formula>
    </cfRule>
    <cfRule type="expression" dxfId="754" priority="798">
      <formula>AND($H$118&lt;0.7,$H$115&lt;&gt;"",$H$116&lt;&gt;"",$B$120="")</formula>
    </cfRule>
    <cfRule type="expression" dxfId="753" priority="604">
      <formula>AND($H$118&gt;100%,$H$117&lt;&gt;"")</formula>
    </cfRule>
  </conditionalFormatting>
  <conditionalFormatting sqref="H149 O149">
    <cfRule type="expression" dxfId="752" priority="2232">
      <formula>AND($H$149&lt;&gt;$H$136,$H$136&lt;&gt;"",$H$149="")</formula>
    </cfRule>
    <cfRule type="expression" dxfId="751" priority="1993">
      <formula>AND($H$149&gt;$H$136,$H$149&lt;&gt;"")</formula>
    </cfRule>
    <cfRule type="expression" dxfId="750" priority="1709">
      <formula>AND($H$149&lt;$H$136,$H$149&lt;&gt;"")</formula>
    </cfRule>
  </conditionalFormatting>
  <conditionalFormatting sqref="H155 O155">
    <cfRule type="expression" dxfId="749" priority="1984">
      <formula>AND($H$155&gt;$H$136,$H$155&lt;&gt;"")</formula>
    </cfRule>
    <cfRule type="expression" dxfId="748" priority="1700">
      <formula>AND($H$155&lt;$H$136,$H$155&lt;&gt;"")</formula>
    </cfRule>
    <cfRule type="expression" dxfId="747" priority="2223">
      <formula>AND($H$155&lt;&gt;$H$136,$H$136&lt;&gt;"",$H$155="")</formula>
    </cfRule>
  </conditionalFormatting>
  <conditionalFormatting sqref="H156">
    <cfRule type="expression" dxfId="746" priority="1912">
      <formula>AND($H$156=100%,$B$158="")</formula>
    </cfRule>
    <cfRule type="expression" dxfId="745" priority="1898">
      <formula>AND(H156&lt;100%,H156&lt;&gt;"",B158="")</formula>
    </cfRule>
  </conditionalFormatting>
  <conditionalFormatting sqref="H187">
    <cfRule type="expression" dxfId="744" priority="1789">
      <formula>AND($H$187&gt;$H$174,$H$187&lt;&gt;"")</formula>
    </cfRule>
    <cfRule type="expression" dxfId="743" priority="1818">
      <formula>AND($H$187&lt;&gt;$H$174,$H$174&lt;&gt;"",$H$187="")</formula>
    </cfRule>
    <cfRule type="expression" dxfId="742" priority="1666">
      <formula>AND($H$187&lt;$H$174,$H$187&lt;&gt;"")</formula>
    </cfRule>
  </conditionalFormatting>
  <conditionalFormatting sqref="H193">
    <cfRule type="expression" dxfId="741" priority="1657">
      <formula>AND($H$193&lt;$H$174,$H$193&lt;&gt;"")</formula>
    </cfRule>
    <cfRule type="expression" dxfId="740" priority="1780">
      <formula>AND($H$193&gt;$H$174,$H$193&lt;&gt;"")</formula>
    </cfRule>
    <cfRule type="expression" dxfId="739" priority="1809">
      <formula>AND($H$193&lt;&gt;$H$174,$H$174&lt;&gt;"",$H$193="")</formula>
    </cfRule>
  </conditionalFormatting>
  <conditionalFormatting sqref="H194">
    <cfRule type="expression" dxfId="738" priority="1026">
      <formula>AND(H194&lt;100%,H194&lt;&gt;"",B196="")</formula>
    </cfRule>
    <cfRule type="expression" dxfId="737" priority="1034">
      <formula>AND($H$194=100%,$B$196="")</formula>
    </cfRule>
  </conditionalFormatting>
  <conditionalFormatting sqref="H215">
    <cfRule type="expression" dxfId="736" priority="498">
      <formula>$H$215&lt;&gt;""</formula>
    </cfRule>
  </conditionalFormatting>
  <conditionalFormatting sqref="H217">
    <cfRule type="expression" dxfId="735" priority="497">
      <formula>$H$217&lt;&gt;""</formula>
    </cfRule>
  </conditionalFormatting>
  <conditionalFormatting sqref="H219">
    <cfRule type="expression" dxfId="734" priority="268">
      <formula>$H$219&lt;&gt;""</formula>
    </cfRule>
  </conditionalFormatting>
  <conditionalFormatting sqref="H221">
    <cfRule type="expression" dxfId="733" priority="264">
      <formula>$H$221&lt;&gt;""</formula>
    </cfRule>
  </conditionalFormatting>
  <conditionalFormatting sqref="H223">
    <cfRule type="expression" dxfId="732" priority="262">
      <formula>$H$223&lt;&gt;""</formula>
    </cfRule>
  </conditionalFormatting>
  <conditionalFormatting sqref="H224:H226">
    <cfRule type="expression" dxfId="731" priority="2751">
      <formula>#REF!&gt;=1</formula>
    </cfRule>
  </conditionalFormatting>
  <conditionalFormatting sqref="H337">
    <cfRule type="expression" dxfId="730" priority="32">
      <formula>AND($G$330="Yes",$H$336&lt;&gt;"",$H$337="")</formula>
    </cfRule>
    <cfRule type="expression" dxfId="729" priority="85">
      <formula>AND(G330="Yes",G332&gt;=4,C335&lt;&gt;"")</formula>
    </cfRule>
  </conditionalFormatting>
  <conditionalFormatting sqref="H339">
    <cfRule type="expression" dxfId="728" priority="17">
      <formula>AND($G$330="Yes",$H$336&lt;&gt;"",$H$339="")</formula>
    </cfRule>
    <cfRule type="expression" dxfId="727" priority="69">
      <formula>AND(G330="Yes",G332&gt;=4,C335&lt;&gt;"")</formula>
    </cfRule>
  </conditionalFormatting>
  <conditionalFormatting sqref="I56 I59 I61:I63 I66:I68 I92:I94 I115:I116 I144:I148 I150:I154 I182:I186 I188:I192">
    <cfRule type="expression" dxfId="726" priority="2385">
      <formula>AND($D$4&lt;&gt;YEAR($I$58), $I$58&lt;&gt;0)</formula>
    </cfRule>
  </conditionalFormatting>
  <conditionalFormatting sqref="I59">
    <cfRule type="expression" dxfId="725" priority="1905">
      <formula>AND($I$72&gt;100%,$I$71&lt;&gt;"")</formula>
    </cfRule>
  </conditionalFormatting>
  <conditionalFormatting sqref="I73 I71">
    <cfRule type="expression" dxfId="724" priority="2380">
      <formula>AND($I$72&gt;100%,$I$71&lt;&gt;"")</formula>
    </cfRule>
  </conditionalFormatting>
  <conditionalFormatting sqref="I73">
    <cfRule type="expression" dxfId="723" priority="1745">
      <formula>AND($I$73&lt;0.7,$I$72&lt;=100%,$I$72&gt;0,$B$75="")</formula>
    </cfRule>
    <cfRule type="expression" dxfId="722" priority="1043">
      <formula>AND($I$73&gt;=0.7,$I$73&lt;&gt;"",$B$75="")</formula>
    </cfRule>
  </conditionalFormatting>
  <conditionalFormatting sqref="I91">
    <cfRule type="expression" dxfId="721" priority="692">
      <formula>AND(I91&lt;I92,B98&lt;&gt;"")</formula>
    </cfRule>
  </conditionalFormatting>
  <conditionalFormatting sqref="I92">
    <cfRule type="expression" dxfId="720" priority="11221">
      <formula>AND(I94&gt;I92,B98&lt;&gt;"")</formula>
    </cfRule>
  </conditionalFormatting>
  <conditionalFormatting sqref="I93">
    <cfRule type="expression" dxfId="719" priority="676">
      <formula>AND(I93&lt;&gt;"",I94&lt;&gt;"",I93&gt;I94,B98&lt;&gt;"")</formula>
    </cfRule>
  </conditionalFormatting>
  <conditionalFormatting sqref="I96">
    <cfRule type="expression" dxfId="718" priority="762">
      <formula>AND($I$96&gt;=0.7,$I$96&lt;=100%,I96&lt;&gt;0,$B$98="")</formula>
    </cfRule>
    <cfRule type="expression" dxfId="717" priority="778">
      <formula>AND($I$96&lt;0.7,$I$93&lt;&gt;"",$I$94&lt;&gt;"",$B$98="")</formula>
    </cfRule>
  </conditionalFormatting>
  <conditionalFormatting sqref="I117:I118 I114">
    <cfRule type="expression" dxfId="716" priority="1920">
      <formula>AND($I$118&gt;100%,$I$117&lt;&gt;"")</formula>
    </cfRule>
  </conditionalFormatting>
  <conditionalFormatting sqref="I118">
    <cfRule type="expression" dxfId="715" priority="797">
      <formula>AND($I$118&lt;0.7,$I$115&lt;&gt;"",$I$116&lt;&gt;"",$B$120="")</formula>
    </cfRule>
    <cfRule type="expression" dxfId="714" priority="789">
      <formula>AND($I$118&gt;=0.7,$I$118&lt;=100%,$B$120="")</formula>
    </cfRule>
    <cfRule type="expression" dxfId="713" priority="603">
      <formula>AND($I$118&gt;100%,$I$117&lt;&gt;"")</formula>
    </cfRule>
  </conditionalFormatting>
  <conditionalFormatting sqref="I149 O149">
    <cfRule type="expression" dxfId="712" priority="1992">
      <formula>AND($I$149&gt;$I$136,$I$149&lt;&gt;"")</formula>
    </cfRule>
    <cfRule type="expression" dxfId="711" priority="1708">
      <formula>AND($I$149&lt;$I$136,$I$149&lt;&gt;"")</formula>
    </cfRule>
    <cfRule type="expression" dxfId="710" priority="2231">
      <formula>AND($I$149&lt;&gt;$I$136,$I$136&lt;&gt;"",$I$149="")</formula>
    </cfRule>
  </conditionalFormatting>
  <conditionalFormatting sqref="I155 O155">
    <cfRule type="expression" dxfId="709" priority="1983">
      <formula>AND($I$155&gt;$I$136,$I$155&lt;&gt;"")</formula>
    </cfRule>
    <cfRule type="expression" dxfId="708" priority="2222">
      <formula>AND($I$155&lt;&gt;$I$136,$I$136&lt;&gt;"",$I$155="")</formula>
    </cfRule>
    <cfRule type="expression" dxfId="707" priority="1699">
      <formula>AND($I$155&lt;$I$136,$I$155&lt;&gt;"")</formula>
    </cfRule>
  </conditionalFormatting>
  <conditionalFormatting sqref="I156">
    <cfRule type="expression" dxfId="706" priority="1911">
      <formula>AND($I$156=100%,$B$158="")</formula>
    </cfRule>
    <cfRule type="expression" dxfId="705" priority="1897">
      <formula>AND(I156&lt;100%,I156&lt;&gt;"",B158="")</formula>
    </cfRule>
  </conditionalFormatting>
  <conditionalFormatting sqref="I187">
    <cfRule type="expression" dxfId="704" priority="1788">
      <formula>AND($I$187&gt;$I$174,$I$187&lt;&gt;"")</formula>
    </cfRule>
    <cfRule type="expression" dxfId="703" priority="1817">
      <formula>AND($I$187&lt;&gt;$I$174,$I$174&lt;&gt;"",$I$187="")</formula>
    </cfRule>
    <cfRule type="expression" dxfId="702" priority="1665">
      <formula>AND($I$187&lt;$I$174,$I$187&lt;&gt;"")</formula>
    </cfRule>
  </conditionalFormatting>
  <conditionalFormatting sqref="I193">
    <cfRule type="expression" dxfId="701" priority="1808">
      <formula>AND($I$193&lt;&gt;$I$174,$I$174&lt;&gt;"",$I$193="")</formula>
    </cfRule>
    <cfRule type="expression" dxfId="700" priority="1656">
      <formula>AND($I$193&lt;$I$174,$I$193&lt;&gt;"")</formula>
    </cfRule>
    <cfRule type="expression" dxfId="699" priority="1779">
      <formula>AND($I$193&gt;$I$174,$I$193&lt;&gt;"")</formula>
    </cfRule>
  </conditionalFormatting>
  <conditionalFormatting sqref="I194">
    <cfRule type="expression" dxfId="698" priority="1025">
      <formula>AND(I194&lt;100%,I194&lt;&gt;"",B196="")</formula>
    </cfRule>
    <cfRule type="expression" dxfId="697" priority="1033">
      <formula>AND($I$194=100%,$B$196="")</formula>
    </cfRule>
  </conditionalFormatting>
  <conditionalFormatting sqref="I268:I282">
    <cfRule type="expression" dxfId="696" priority="1973">
      <formula>$G$257="Yes"</formula>
    </cfRule>
  </conditionalFormatting>
  <conditionalFormatting sqref="I337">
    <cfRule type="expression" dxfId="695" priority="84">
      <formula>AND(G330="Yes",G332&gt;=5,C335&lt;&gt;"")</formula>
    </cfRule>
    <cfRule type="expression" dxfId="694" priority="31">
      <formula>AND($G$330="Yes",$I$336&lt;&gt;"",$I$337="")</formula>
    </cfRule>
  </conditionalFormatting>
  <conditionalFormatting sqref="I339">
    <cfRule type="expression" dxfId="693" priority="68">
      <formula>AND(G330="Yes",G332&gt;=5,C335&lt;&gt;"")</formula>
    </cfRule>
    <cfRule type="expression" dxfId="692" priority="16">
      <formula>AND($G$330="Yes",$I$336&lt;&gt;"",$I$339="")</formula>
    </cfRule>
  </conditionalFormatting>
  <conditionalFormatting sqref="I215:K215">
    <cfRule type="expression" dxfId="691" priority="267">
      <formula>$I$215&lt;&gt;""</formula>
    </cfRule>
  </conditionalFormatting>
  <conditionalFormatting sqref="I217:K217">
    <cfRule type="expression" dxfId="690" priority="261">
      <formula>$I$217&lt;&gt;""</formula>
    </cfRule>
  </conditionalFormatting>
  <conditionalFormatting sqref="I219:K219">
    <cfRule type="expression" dxfId="689" priority="260">
      <formula>$I$219&lt;&gt;""</formula>
    </cfRule>
  </conditionalFormatting>
  <conditionalFormatting sqref="I221:K221">
    <cfRule type="expression" dxfId="688" priority="259">
      <formula>$I$221&lt;&gt;""</formula>
    </cfRule>
  </conditionalFormatting>
  <conditionalFormatting sqref="I223:K223">
    <cfRule type="expression" dxfId="687" priority="258">
      <formula>$I$223&lt;&gt;""</formula>
    </cfRule>
  </conditionalFormatting>
  <conditionalFormatting sqref="I356:M361">
    <cfRule type="expression" dxfId="686" priority="232">
      <formula>I356&lt;&gt;""</formula>
    </cfRule>
  </conditionalFormatting>
  <conditionalFormatting sqref="I387:M392">
    <cfRule type="expression" dxfId="685" priority="98">
      <formula>$I$358&lt;&gt;""</formula>
    </cfRule>
  </conditionalFormatting>
  <conditionalFormatting sqref="I37:N37">
    <cfRule type="expression" dxfId="684" priority="8231">
      <formula>COUNTIF($I$37,"The sponsor's website*")</formula>
    </cfRule>
  </conditionalFormatting>
  <conditionalFormatting sqref="I37:N39">
    <cfRule type="expression" dxfId="683" priority="384">
      <formula>AND($G$37="Yes",$G$39&lt;&gt;"Please Select",$G$44="Yes",$G$46="Yes")</formula>
    </cfRule>
  </conditionalFormatting>
  <conditionalFormatting sqref="I37:N46">
    <cfRule type="expression" dxfId="682" priority="287">
      <formula>AND($G$37="Yes",$G$39&gt;=1,$G$44="Yes",$G$46="No")</formula>
    </cfRule>
    <cfRule type="expression" dxfId="681" priority="190">
      <formula>COUNTIF($I$37,"Error*")</formula>
    </cfRule>
    <cfRule type="expression" dxfId="680" priority="191">
      <formula>AND($G$37="Yes",$G$39=0,$G$44="Yes",$G$46="No")</formula>
    </cfRule>
    <cfRule type="expression" dxfId="679" priority="381">
      <formula>AND($G$37="Yes",$G$39&lt;&gt;"Please Select",$G$44="No")</formula>
    </cfRule>
    <cfRule type="expression" dxfId="678" priority="380">
      <formula>AND($G$37="Yes",$G$39="Satellite(s) Only",$G$44="Please Select",$G$46="Yes")</formula>
    </cfRule>
    <cfRule type="expression" dxfId="677" priority="303">
      <formula>AND(G37="Yes",G39=0,G44="No",G46="Please Select")</formula>
    </cfRule>
    <cfRule type="expression" dxfId="676" priority="385">
      <formula>OR(AND($G$37="No",$G$39="Please Select",$G$44="Yes",$G$46="Yes"),AND($G$37="Yes",$G$39="Please Select",$G$44="Yes",$G$46="Yes"))</formula>
    </cfRule>
  </conditionalFormatting>
  <conditionalFormatting sqref="J56 J59 J61:J63 J66:J68 J92:J94 J115:J116 J144:J148 J150:J154 J182:J186 J188:J192">
    <cfRule type="expression" dxfId="675" priority="769">
      <formula>AND($D$4&lt;&gt;YEAR($J$58), $J$58&lt;&gt;0)</formula>
    </cfRule>
  </conditionalFormatting>
  <conditionalFormatting sqref="J59">
    <cfRule type="expression" dxfId="674" priority="1904">
      <formula>AND($J$72&gt;100%,$J$71&lt;&gt;"")</formula>
    </cfRule>
  </conditionalFormatting>
  <conditionalFormatting sqref="J73 J71">
    <cfRule type="expression" dxfId="673" priority="2373">
      <formula>AND($J$72&gt;100%,$J$71&lt;&gt;"")</formula>
    </cfRule>
  </conditionalFormatting>
  <conditionalFormatting sqref="J73">
    <cfRule type="expression" dxfId="672" priority="1042">
      <formula>AND($J$73&gt;=0.7,$J$73&lt;&gt;"",$B$75="")</formula>
    </cfRule>
    <cfRule type="expression" dxfId="671" priority="1744">
      <formula>AND($J$73&lt;0.7,$J$72&lt;=100%,$J$72&gt;0,$B$75="")</formula>
    </cfRule>
  </conditionalFormatting>
  <conditionalFormatting sqref="J80">
    <cfRule type="expression" dxfId="670" priority="608">
      <formula>AND(G81&lt;&gt;"",G81=0)</formula>
    </cfRule>
  </conditionalFormatting>
  <conditionalFormatting sqref="J91">
    <cfRule type="expression" dxfId="669" priority="691">
      <formula>AND(J91&lt;J92,B98&lt;&gt;"")</formula>
    </cfRule>
  </conditionalFormatting>
  <conditionalFormatting sqref="J92">
    <cfRule type="expression" dxfId="668" priority="11223">
      <formula>AND(J94&gt;J92,B98&lt;&gt;"")</formula>
    </cfRule>
  </conditionalFormatting>
  <conditionalFormatting sqref="J93">
    <cfRule type="expression" dxfId="667" priority="675">
      <formula>AND(J93&lt;&gt;"",J94&lt;&gt;"",J93&gt;J94,B98&lt;&gt;"")</formula>
    </cfRule>
  </conditionalFormatting>
  <conditionalFormatting sqref="J96">
    <cfRule type="expression" dxfId="666" priority="777">
      <formula>AND($J$96&lt;0.7,$J$93&lt;&gt;"",$J$94&lt;&gt;"",$B$98="")</formula>
    </cfRule>
    <cfRule type="expression" dxfId="665" priority="761">
      <formula>AND($J$96&gt;=0.7,$J$96&lt;=100%,J96&lt;&gt;0,$B$98="")</formula>
    </cfRule>
  </conditionalFormatting>
  <conditionalFormatting sqref="J117:J118 J114">
    <cfRule type="expression" dxfId="664" priority="2109">
      <formula>AND($J$118&gt;100%,$J$117&lt;&gt;"")</formula>
    </cfRule>
  </conditionalFormatting>
  <conditionalFormatting sqref="J118">
    <cfRule type="expression" dxfId="663" priority="788">
      <formula>AND($J$118&gt;=0.7,$J$118&lt;=100%,$B$120="")</formula>
    </cfRule>
    <cfRule type="expression" dxfId="662" priority="602">
      <formula>AND($J$118&gt;100%,$J$117&lt;&gt;"")</formula>
    </cfRule>
    <cfRule type="expression" dxfId="661" priority="796">
      <formula>AND($J$118&lt;0.7,$J$115&lt;&gt;"",$J$116&lt;&gt;"",$B$120="")</formula>
    </cfRule>
  </conditionalFormatting>
  <conditionalFormatting sqref="J149 O149">
    <cfRule type="expression" dxfId="660" priority="1707">
      <formula>AND($J$149&lt;$J$136,$J$149&lt;&gt;"")</formula>
    </cfRule>
    <cfRule type="expression" dxfId="659" priority="1991">
      <formula>AND($J$149&gt;$J$136,$J$149&lt;&gt;"")</formula>
    </cfRule>
    <cfRule type="expression" dxfId="658" priority="2230">
      <formula>AND($J$149&lt;&gt;$J$136,$J$136&lt;&gt;"",$J$149="")</formula>
    </cfRule>
  </conditionalFormatting>
  <conditionalFormatting sqref="J155 O155">
    <cfRule type="expression" dxfId="657" priority="1982">
      <formula>AND($J$155&gt;$J$136,$J$155&lt;&gt;"")</formula>
    </cfRule>
    <cfRule type="expression" dxfId="656" priority="1698">
      <formula>AND($J$155&lt;$J$136,$J$155&lt;&gt;"")</formula>
    </cfRule>
    <cfRule type="expression" dxfId="655" priority="2221">
      <formula>AND($J$155&lt;&gt;$J$136,$J$136&lt;&gt;"",$J$155="")</formula>
    </cfRule>
  </conditionalFormatting>
  <conditionalFormatting sqref="J156">
    <cfRule type="expression" dxfId="654" priority="1896">
      <formula>AND(J156&lt;100%,J156&lt;&gt;"",B158="")</formula>
    </cfRule>
    <cfRule type="expression" dxfId="653" priority="1910">
      <formula>AND($J$156=100%,$B$158="")</formula>
    </cfRule>
  </conditionalFormatting>
  <conditionalFormatting sqref="J187">
    <cfRule type="expression" dxfId="652" priority="1664">
      <formula>AND($J$187&lt;$J$174,$J$187&lt;&gt;"")</formula>
    </cfRule>
    <cfRule type="expression" dxfId="651" priority="1787">
      <formula>AND($J$187&gt;$J$174,$J$187&lt;&gt;"")</formula>
    </cfRule>
    <cfRule type="expression" dxfId="650" priority="1816">
      <formula>AND($J$187&lt;&gt;$J$174,$J$174&lt;&gt;"",$J$187="")</formula>
    </cfRule>
  </conditionalFormatting>
  <conditionalFormatting sqref="J193">
    <cfRule type="expression" dxfId="649" priority="1655">
      <formula>AND($J$193&lt;$J$174,$J$193&lt;&gt;"")</formula>
    </cfRule>
    <cfRule type="expression" dxfId="648" priority="1778">
      <formula>AND($J$193&gt;$J$174,$J$193&lt;&gt;"")</formula>
    </cfRule>
    <cfRule type="expression" dxfId="647" priority="1807">
      <formula>AND($J$193&lt;&gt;$J$174,$J$174&lt;&gt;"",$J$193="")</formula>
    </cfRule>
  </conditionalFormatting>
  <conditionalFormatting sqref="J194">
    <cfRule type="expression" dxfId="646" priority="1024">
      <formula>AND(J194&lt;100%,J194&lt;&gt;"",B196="")</formula>
    </cfRule>
    <cfRule type="expression" dxfId="645" priority="1032">
      <formula>AND($J$194=100%,$B$196="")</formula>
    </cfRule>
  </conditionalFormatting>
  <conditionalFormatting sqref="J337">
    <cfRule type="expression" dxfId="644" priority="30">
      <formula>AND($G$330="Yes",$J$336&lt;&gt;"",$J$337="")</formula>
    </cfRule>
    <cfRule type="expression" dxfId="643" priority="83">
      <formula>AND(G330="Yes",G332&gt;=6,C335&lt;&gt;"")</formula>
    </cfRule>
  </conditionalFormatting>
  <conditionalFormatting sqref="J339">
    <cfRule type="expression" dxfId="642" priority="67">
      <formula>AND(G330="Yes",G332&gt;=6,C335&lt;&gt;"")</formula>
    </cfRule>
    <cfRule type="expression" dxfId="641" priority="15">
      <formula>AND($G$330="Yes",$J$336&lt;&gt;"",$J$339="")</formula>
    </cfRule>
  </conditionalFormatting>
  <conditionalFormatting sqref="J334:M335">
    <cfRule type="expression" dxfId="640" priority="37">
      <formula>$J$334&lt;&gt;""</formula>
    </cfRule>
  </conditionalFormatting>
  <conditionalFormatting sqref="J208:N208">
    <cfRule type="expression" dxfId="639" priority="192">
      <formula>$J$208&lt;&gt;""</formula>
    </cfRule>
  </conditionalFormatting>
  <conditionalFormatting sqref="J210:N210">
    <cfRule type="expression" dxfId="638" priority="2475">
      <formula>G210="Yes"</formula>
    </cfRule>
  </conditionalFormatting>
  <conditionalFormatting sqref="K56 K59 K61:K63 K66:K68 K92:K94 K115:K116 K144:K148 K182:K186 K188:K192">
    <cfRule type="expression" dxfId="637" priority="2383">
      <formula>AND($D$4&lt;&gt;YEAR($K$58), $K$58&lt;&gt;0)</formula>
    </cfRule>
  </conditionalFormatting>
  <conditionalFormatting sqref="K59">
    <cfRule type="expression" dxfId="636" priority="1903">
      <formula>AND($K$72&gt;100%,$K$71&lt;&gt;"")</formula>
    </cfRule>
  </conditionalFormatting>
  <conditionalFormatting sqref="K73 K71">
    <cfRule type="expression" dxfId="635" priority="2378">
      <formula>AND($K$72&gt;100%,$K$71&lt;&gt;"")</formula>
    </cfRule>
  </conditionalFormatting>
  <conditionalFormatting sqref="K73">
    <cfRule type="expression" dxfId="634" priority="1041">
      <formula>AND($K$73&gt;=0.7,$K$73&lt;&gt;"",$B$75="")</formula>
    </cfRule>
    <cfRule type="expression" dxfId="633" priority="1743">
      <formula>AND($K$73&lt;0.7,$K$72&lt;=100%,$K$72&gt;0,$B$75="")</formula>
    </cfRule>
  </conditionalFormatting>
  <conditionalFormatting sqref="K91">
    <cfRule type="expression" dxfId="632" priority="690">
      <formula>AND(K91&lt;K92,B98&lt;&gt;"")</formula>
    </cfRule>
  </conditionalFormatting>
  <conditionalFormatting sqref="K92">
    <cfRule type="expression" dxfId="631" priority="11225">
      <formula>AND(K94&gt;K92,B98&lt;&gt;"")</formula>
    </cfRule>
  </conditionalFormatting>
  <conditionalFormatting sqref="K93">
    <cfRule type="expression" dxfId="630" priority="674">
      <formula>AND(K93&lt;&gt;"",K94&lt;&gt;"",K93&gt;K94,B98&lt;&gt;"")</formula>
    </cfRule>
  </conditionalFormatting>
  <conditionalFormatting sqref="K96">
    <cfRule type="expression" dxfId="629" priority="776">
      <formula>AND($K$96&lt;0.7,$K$93&lt;&gt;"",$K$94&lt;&gt;"",$B$98="")</formula>
    </cfRule>
    <cfRule type="expression" dxfId="628" priority="760">
      <formula>AND($K$96&gt;=0.7,$K$96&lt;=100%,K96&lt;&gt;0,$B$98="")</formula>
    </cfRule>
  </conditionalFormatting>
  <conditionalFormatting sqref="K117:K118 K114">
    <cfRule type="expression" dxfId="627" priority="2108">
      <formula>AND($K$118&gt;100%,$K$117&lt;&gt;"")</formula>
    </cfRule>
  </conditionalFormatting>
  <conditionalFormatting sqref="K118">
    <cfRule type="expression" dxfId="626" priority="787">
      <formula>AND($K$118&gt;=0.7,$K$118&lt;=100%,$B$120="")</formula>
    </cfRule>
    <cfRule type="expression" dxfId="625" priority="795">
      <formula>AND($K$118&lt;0.7,$K$115&lt;&gt;"",$K$116&lt;&gt;"",$B$120="")</formula>
    </cfRule>
    <cfRule type="expression" dxfId="624" priority="601">
      <formula>AND($K$118&gt;100%,$K$117&lt;&gt;"")</formula>
    </cfRule>
  </conditionalFormatting>
  <conditionalFormatting sqref="K149 O149">
    <cfRule type="expression" dxfId="623" priority="2229">
      <formula>AND($K$149&lt;&gt;$K$136,$K$136&lt;&gt;"",$K$149="")</formula>
    </cfRule>
    <cfRule type="expression" dxfId="622" priority="1706">
      <formula>AND($K$149&lt;$K$136,$K$149&lt;&gt;"")</formula>
    </cfRule>
    <cfRule type="expression" dxfId="621" priority="1990">
      <formula>AND($K$149&gt;$K$136,$K$149&lt;&gt;"")</formula>
    </cfRule>
  </conditionalFormatting>
  <conditionalFormatting sqref="K155 O155">
    <cfRule type="expression" dxfId="620" priority="2220">
      <formula>AND($K$155&lt;&gt;$K$136,$K$136&lt;&gt;"",$K$155="")</formula>
    </cfRule>
    <cfRule type="expression" dxfId="619" priority="1697">
      <formula>AND($K$155&lt;$K$136,$K$155&lt;&gt;"")</formula>
    </cfRule>
    <cfRule type="expression" dxfId="618" priority="1981">
      <formula>AND($K$155&gt;$K$136,$K$155&lt;&gt;"")</formula>
    </cfRule>
  </conditionalFormatting>
  <conditionalFormatting sqref="K156">
    <cfRule type="expression" dxfId="617" priority="1909">
      <formula>AND($K$156=100%,$B$158="")</formula>
    </cfRule>
    <cfRule type="expression" dxfId="616" priority="1895">
      <formula>AND(K156&lt;100%,K156&lt;&gt;"",B158="")</formula>
    </cfRule>
  </conditionalFormatting>
  <conditionalFormatting sqref="K187">
    <cfRule type="expression" dxfId="615" priority="1786">
      <formula>AND($K$187&gt;$K$174,$K$187&lt;&gt;"")</formula>
    </cfRule>
    <cfRule type="expression" dxfId="614" priority="1663">
      <formula>AND($K$187&lt;$K$174,$K$187&lt;&gt;"")</formula>
    </cfRule>
    <cfRule type="expression" dxfId="613" priority="1815">
      <formula>AND($K$187&lt;&gt;$K$174,$K$174&lt;&gt;"",$K$187="")</formula>
    </cfRule>
  </conditionalFormatting>
  <conditionalFormatting sqref="K193">
    <cfRule type="expression" dxfId="612" priority="1654">
      <formula>AND($K$193&lt;$K$174,$K$193&lt;&gt;"")</formula>
    </cfRule>
    <cfRule type="expression" dxfId="611" priority="1777">
      <formula>AND($K$193&gt;$K$174,$K$193&lt;&gt;"")</formula>
    </cfRule>
    <cfRule type="expression" dxfId="610" priority="1806">
      <formula>AND($K$193&lt;&gt;$K$174,$K$174&lt;&gt;"",$K$193="")</formula>
    </cfRule>
  </conditionalFormatting>
  <conditionalFormatting sqref="K194">
    <cfRule type="expression" dxfId="609" priority="1023">
      <formula>AND(K194&lt;100%,K194&lt;&gt;"",B196="")</formula>
    </cfRule>
    <cfRule type="expression" dxfId="608" priority="1031">
      <formula>AND($K$194=100%,$B$196="")</formula>
    </cfRule>
  </conditionalFormatting>
  <conditionalFormatting sqref="K337">
    <cfRule type="expression" dxfId="607" priority="82">
      <formula>AND(G330="Yes",G332&gt;=7,C335&lt;&gt;"")</formula>
    </cfRule>
    <cfRule type="expression" dxfId="606" priority="29">
      <formula>AND($G$330="Yes",$K$336&lt;&gt;"",$K$337="")</formula>
    </cfRule>
  </conditionalFormatting>
  <conditionalFormatting sqref="K339">
    <cfRule type="expression" dxfId="605" priority="14">
      <formula>AND($G$330="Yes",$K$336&lt;&gt;"",$K$339="")</formula>
    </cfRule>
    <cfRule type="expression" dxfId="604" priority="66">
      <formula>AND(G330="Yes",G332&gt;=7,C335&lt;&gt;"")</formula>
    </cfRule>
  </conditionalFormatting>
  <conditionalFormatting sqref="L56 L59 L61:L63 L66:L68 L92:L94 L115:L116 L144:L148 L182:L186 L188:L192">
    <cfRule type="expression" dxfId="603" priority="2382">
      <formula>AND($D$4&lt;&gt;YEAR($L$58), $L$58&lt;&gt;0)</formula>
    </cfRule>
  </conditionalFormatting>
  <conditionalFormatting sqref="L59">
    <cfRule type="expression" dxfId="602" priority="1902">
      <formula>AND($L$72&gt;100%,$L$71&lt;&gt;"")</formula>
    </cfRule>
  </conditionalFormatting>
  <conditionalFormatting sqref="L73 L71">
    <cfRule type="expression" dxfId="601" priority="2377">
      <formula>AND($L$72&gt;100%,$L$71&lt;&gt;"")</formula>
    </cfRule>
  </conditionalFormatting>
  <conditionalFormatting sqref="L73">
    <cfRule type="expression" dxfId="600" priority="1040">
      <formula>AND($L$73&gt;=0.7,$L$73&lt;&gt;"",$B$75="")</formula>
    </cfRule>
    <cfRule type="expression" dxfId="599" priority="1742">
      <formula>AND($L$73&lt;0.7,$L$72&lt;=100%,$L$72&gt;0,$B$75="")</formula>
    </cfRule>
  </conditionalFormatting>
  <conditionalFormatting sqref="L91">
    <cfRule type="expression" dxfId="598" priority="689">
      <formula>AND(L91&lt;L92,B98&lt;&gt;"")</formula>
    </cfRule>
  </conditionalFormatting>
  <conditionalFormatting sqref="L92">
    <cfRule type="expression" dxfId="597" priority="11227">
      <formula>AND(L94&gt;L92,B98&lt;&gt;"")</formula>
    </cfRule>
  </conditionalFormatting>
  <conditionalFormatting sqref="L93">
    <cfRule type="expression" dxfId="596" priority="673">
      <formula>AND(L93&lt;&gt;"",L94&lt;&gt;"",L93&gt;L94,B98&lt;&gt;"")</formula>
    </cfRule>
  </conditionalFormatting>
  <conditionalFormatting sqref="L96">
    <cfRule type="expression" dxfId="595" priority="759">
      <formula>AND($L$96&gt;=0.7,$L$96&lt;=100%,L96&lt;&gt;0,$B$98="")</formula>
    </cfRule>
    <cfRule type="expression" dxfId="594" priority="775">
      <formula>AND($L$96&lt;0.7,$L$93&lt;&gt;"",$L$94&lt;&gt;"",$B$98="")</formula>
    </cfRule>
  </conditionalFormatting>
  <conditionalFormatting sqref="L117:L118 L114">
    <cfRule type="expression" dxfId="593" priority="2107">
      <formula>AND($L$118&gt;100%,$L$117&lt;&gt;"")</formula>
    </cfRule>
  </conditionalFormatting>
  <conditionalFormatting sqref="L118">
    <cfRule type="expression" dxfId="592" priority="600">
      <formula>AND($L$118&gt;100%,$L$117&lt;&gt;"")</formula>
    </cfRule>
    <cfRule type="expression" dxfId="591" priority="786">
      <formula>AND($L$118&gt;=0.7,$L$118&lt;=100%,$B$120="")</formula>
    </cfRule>
    <cfRule type="expression" dxfId="590" priority="794">
      <formula>AND($L$118&lt;0.7,$L$115&lt;&gt;"",$L$116&lt;&gt;"",$B$120="")</formula>
    </cfRule>
  </conditionalFormatting>
  <conditionalFormatting sqref="L149 O149">
    <cfRule type="expression" dxfId="589" priority="1705">
      <formula>AND($L$149&lt;$L$136,$L$149&lt;&gt;"")</formula>
    </cfRule>
    <cfRule type="expression" dxfId="588" priority="1989">
      <formula>AND($L$149&gt;$L$136,$L$149&lt;&gt;"")</formula>
    </cfRule>
    <cfRule type="expression" dxfId="587" priority="2228">
      <formula>AND($L$149&lt;&gt;$L$136,$L$136&lt;&gt;"",$L$149="")</formula>
    </cfRule>
  </conditionalFormatting>
  <conditionalFormatting sqref="L155 O155">
    <cfRule type="expression" dxfId="586" priority="1980">
      <formula>AND($L$155&gt;$L$136,$L$155&lt;&gt;"")</formula>
    </cfRule>
    <cfRule type="expression" dxfId="585" priority="1696">
      <formula>AND($L$155&lt;$L$136,$L$155&lt;&gt;"")</formula>
    </cfRule>
    <cfRule type="expression" dxfId="584" priority="2219">
      <formula>AND($L$155&lt;&gt;$L$136,$L$136&lt;&gt;"",$L$155="")</formula>
    </cfRule>
  </conditionalFormatting>
  <conditionalFormatting sqref="L156">
    <cfRule type="expression" dxfId="583" priority="1908">
      <formula>AND($L$156=100%,$B$158="")</formula>
    </cfRule>
    <cfRule type="expression" dxfId="582" priority="1894">
      <formula>AND(L156&lt;100%,L156&lt;&gt;"",B158="")</formula>
    </cfRule>
  </conditionalFormatting>
  <conditionalFormatting sqref="L187">
    <cfRule type="expression" dxfId="581" priority="1814">
      <formula>AND($L$187&lt;&gt;$L$174,$L$174&lt;&gt;"",$L$187="")</formula>
    </cfRule>
    <cfRule type="expression" dxfId="580" priority="1662">
      <formula>AND($L$187&lt;$L$174,$L$187&lt;&gt;"")</formula>
    </cfRule>
    <cfRule type="expression" dxfId="579" priority="1785">
      <formula>AND($L$187&gt;$L$174,$L$187&lt;&gt;"")</formula>
    </cfRule>
  </conditionalFormatting>
  <conditionalFormatting sqref="L193">
    <cfRule type="expression" dxfId="578" priority="1653">
      <formula>AND($L$193&lt;$L$174,$L$193&lt;&gt;"")</formula>
    </cfRule>
    <cfRule type="expression" dxfId="577" priority="1776">
      <formula>AND($L$193&gt;$L$174,$L$193&lt;&gt;"")</formula>
    </cfRule>
    <cfRule type="expression" dxfId="576" priority="1805">
      <formula>AND($L$193&lt;&gt;$L$174,$L$174&lt;&gt;"",$L$193="")</formula>
    </cfRule>
  </conditionalFormatting>
  <conditionalFormatting sqref="L194">
    <cfRule type="expression" dxfId="575" priority="1022">
      <formula>AND(L194&lt;100%,L194&lt;&gt;"",B196="")</formula>
    </cfRule>
    <cfRule type="expression" dxfId="574" priority="1030">
      <formula>AND($L$194=100%,$B$196="")</formula>
    </cfRule>
  </conditionalFormatting>
  <conditionalFormatting sqref="L337">
    <cfRule type="expression" dxfId="573" priority="28">
      <formula>AND($G$330="Yes",$L$336&lt;&gt;"",$L$337="")</formula>
    </cfRule>
    <cfRule type="expression" dxfId="572" priority="81">
      <formula>AND(G330="Yes",G332&gt;=8,C335&lt;&gt;"")</formula>
    </cfRule>
  </conditionalFormatting>
  <conditionalFormatting sqref="L339">
    <cfRule type="expression" dxfId="571" priority="65">
      <formula>AND(G330="Yes",G332&gt;=8,C335&lt;&gt;"")</formula>
    </cfRule>
    <cfRule type="expression" dxfId="570" priority="13">
      <formula>AND($G$330="Yes",$L$336&lt;&gt;"",$L$339="")</formula>
    </cfRule>
  </conditionalFormatting>
  <conditionalFormatting sqref="L215:N215">
    <cfRule type="expression" dxfId="569" priority="266">
      <formula>I215&lt;&gt;""</formula>
    </cfRule>
  </conditionalFormatting>
  <conditionalFormatting sqref="L217:N217">
    <cfRule type="expression" dxfId="568" priority="257">
      <formula>I217&lt;&gt;""</formula>
    </cfRule>
  </conditionalFormatting>
  <conditionalFormatting sqref="L219:N219">
    <cfRule type="expression" dxfId="567" priority="256">
      <formula>I219&lt;&gt;""</formula>
    </cfRule>
  </conditionalFormatting>
  <conditionalFormatting sqref="L221:N221">
    <cfRule type="expression" dxfId="566" priority="255">
      <formula>I221&lt;&gt;""</formula>
    </cfRule>
  </conditionalFormatting>
  <conditionalFormatting sqref="L223:N223">
    <cfRule type="expression" dxfId="565" priority="254">
      <formula>I223&lt;&gt;""</formula>
    </cfRule>
  </conditionalFormatting>
  <conditionalFormatting sqref="M56 M111 M59 M61:M63 M66:M68 M92:M94 M115:M116 M144:M148 M182:M186 M188:M192">
    <cfRule type="expression" dxfId="564" priority="766">
      <formula>AND($D$4&lt;&gt;YEAR($M$58), $M$58&lt;&gt;0)</formula>
    </cfRule>
  </conditionalFormatting>
  <conditionalFormatting sqref="M56">
    <cfRule type="expression" dxfId="563" priority="312">
      <formula>$M$56="No Satellites"</formula>
    </cfRule>
  </conditionalFormatting>
  <conditionalFormatting sqref="M59">
    <cfRule type="expression" dxfId="562" priority="1901">
      <formula>AND($M$72&gt;100%,$M$71&lt;&gt;"")</formula>
    </cfRule>
  </conditionalFormatting>
  <conditionalFormatting sqref="M73 M71">
    <cfRule type="expression" dxfId="560" priority="2376">
      <formula>AND($M$72&gt;100%,$M$71&lt;&gt;"")</formula>
    </cfRule>
  </conditionalFormatting>
  <conditionalFormatting sqref="M73">
    <cfRule type="expression" dxfId="559" priority="1039">
      <formula>AND($M$73&gt;=0.7,$M$73&lt;&gt;"",$B$75="")</formula>
    </cfRule>
    <cfRule type="expression" dxfId="558" priority="1741">
      <formula>AND($M$73&lt;0.7,$M$72&lt;=100%,$M$72&gt;0,$B$75="")</formula>
    </cfRule>
  </conditionalFormatting>
  <conditionalFormatting sqref="M88">
    <cfRule type="expression" dxfId="557" priority="310">
      <formula>$M$88="No Satellites"</formula>
    </cfRule>
  </conditionalFormatting>
  <conditionalFormatting sqref="M91">
    <cfRule type="expression" dxfId="556" priority="688">
      <formula>AND(M91&lt;M92,B98&lt;&gt;"")</formula>
    </cfRule>
  </conditionalFormatting>
  <conditionalFormatting sqref="M92">
    <cfRule type="expression" dxfId="555" priority="11229">
      <formula>AND(M94&gt;M92,B98&lt;&gt;"")</formula>
    </cfRule>
  </conditionalFormatting>
  <conditionalFormatting sqref="M93">
    <cfRule type="expression" dxfId="554" priority="672">
      <formula>AND(M93&lt;&gt;"",M94&lt;&gt;"",M93&gt;M94,B98&lt;&gt;"")</formula>
    </cfRule>
  </conditionalFormatting>
  <conditionalFormatting sqref="M96">
    <cfRule type="expression" dxfId="553" priority="774">
      <formula>AND($M$96&lt;0.7,$M$93&lt;&gt;"",$M$94&lt;&gt;"",$B$98="")</formula>
    </cfRule>
    <cfRule type="expression" dxfId="552" priority="758">
      <formula>AND($M$96&gt;=0.7,$M$96&lt;=100%,M96&lt;&gt;0,$B$98="")</formula>
    </cfRule>
  </conditionalFormatting>
  <conditionalFormatting sqref="M111">
    <cfRule type="expression" dxfId="551" priority="308">
      <formula>$M$111="No Satellites"</formula>
    </cfRule>
  </conditionalFormatting>
  <conditionalFormatting sqref="M117:M118 M114">
    <cfRule type="expression" dxfId="550" priority="1916">
      <formula>AND($M$118&gt;100%,$M$117&lt;&gt;"")</formula>
    </cfRule>
  </conditionalFormatting>
  <conditionalFormatting sqref="M118">
    <cfRule type="expression" dxfId="549" priority="793">
      <formula>AND($M$118&lt;0.7,$M$115&lt;&gt;"",$M$116&lt;&gt;"",$B$120="")</formula>
    </cfRule>
    <cfRule type="expression" dxfId="548" priority="785">
      <formula>AND($M$118&gt;=0.7,$M$118&lt;=100%,$B$120="")</formula>
    </cfRule>
    <cfRule type="expression" dxfId="547" priority="599">
      <formula>AND($M$118&gt;100%,$M$117&lt;&gt;"")</formula>
    </cfRule>
  </conditionalFormatting>
  <conditionalFormatting sqref="M149 O149">
    <cfRule type="expression" dxfId="546" priority="1988">
      <formula>AND($M$149&gt;$M$136,$M$149&lt;&gt;"")</formula>
    </cfRule>
    <cfRule type="expression" dxfId="545" priority="1704">
      <formula>AND($M$149&lt;$M$136,$M$149&lt;&gt;"")</formula>
    </cfRule>
    <cfRule type="expression" dxfId="544" priority="2227">
      <formula>AND($M$149&lt;&gt;$M$136,$M$136&lt;&gt;"",$M$149="")</formula>
    </cfRule>
  </conditionalFormatting>
  <conditionalFormatting sqref="M155 O155">
    <cfRule type="expression" dxfId="543" priority="1695">
      <formula>AND($M$155&lt;$M$136,$M$155&lt;&gt;"")</formula>
    </cfRule>
    <cfRule type="expression" dxfId="542" priority="2218">
      <formula>AND($M$155&lt;&gt;$M$136,$M$136&lt;&gt;"",$M$155="")</formula>
    </cfRule>
    <cfRule type="expression" dxfId="541" priority="1979">
      <formula>AND($M$155&gt;$M$136,$M$155&lt;&gt;"")</formula>
    </cfRule>
  </conditionalFormatting>
  <conditionalFormatting sqref="M156">
    <cfRule type="expression" dxfId="540" priority="1907">
      <formula>AND($M$156=100%,$B$158="")</formula>
    </cfRule>
    <cfRule type="expression" dxfId="539" priority="1893">
      <formula>AND(M156&lt;100%,M156&lt;&gt;"",B158="")</formula>
    </cfRule>
  </conditionalFormatting>
  <conditionalFormatting sqref="M187">
    <cfRule type="expression" dxfId="538" priority="1813">
      <formula>AND($M$187&lt;&gt;$M$174,$M$174&lt;&gt;"",$M$187="")</formula>
    </cfRule>
    <cfRule type="expression" dxfId="537" priority="1784">
      <formula>AND($M$187&gt;$M$174,$M$187&lt;&gt;"")</formula>
    </cfRule>
    <cfRule type="expression" dxfId="536" priority="1661">
      <formula>AND($M$187&lt;$M$174,$M$187&lt;&gt;"")</formula>
    </cfRule>
  </conditionalFormatting>
  <conditionalFormatting sqref="M193">
    <cfRule type="expression" dxfId="535" priority="1804">
      <formula>AND($M$193&lt;&gt;$M$174,$M$174&lt;&gt;"",$M$193="")</formula>
    </cfRule>
    <cfRule type="expression" dxfId="534" priority="1775">
      <formula>AND($M$193&gt;$M$174,$M$193&lt;&gt;"")</formula>
    </cfRule>
    <cfRule type="expression" dxfId="533" priority="1652">
      <formula>AND($M$193&lt;$M$174,$M$193&lt;&gt;"")</formula>
    </cfRule>
  </conditionalFormatting>
  <conditionalFormatting sqref="M194">
    <cfRule type="expression" dxfId="532" priority="1021">
      <formula>AND(M194&lt;100%,M194&lt;&gt;"",B196="")</formula>
    </cfRule>
    <cfRule type="expression" dxfId="531" priority="1029">
      <formula>AND($M$194=100%,$B$196="")</formula>
    </cfRule>
  </conditionalFormatting>
  <conditionalFormatting sqref="M337">
    <cfRule type="expression" dxfId="530" priority="27">
      <formula>AND($G$330="Yes",$M$336&lt;&gt;"",$M$337="")</formula>
    </cfRule>
    <cfRule type="expression" dxfId="529" priority="80">
      <formula>AND(G330="Yes",G332&gt;=9,C335&lt;&gt;"")</formula>
    </cfRule>
  </conditionalFormatting>
  <conditionalFormatting sqref="M339">
    <cfRule type="expression" dxfId="528" priority="12">
      <formula>AND($G$330="Yes",$M$336&lt;&gt;"",$M$339="")</formula>
    </cfRule>
    <cfRule type="expression" dxfId="527" priority="64">
      <formula>AND(G330="Yes",G332&gt;=9,C335&lt;&gt;"")</formula>
    </cfRule>
  </conditionalFormatting>
  <conditionalFormatting sqref="N73">
    <cfRule type="expression" dxfId="526" priority="2391">
      <formula>AND($N$73&gt;=0.7,$B$75="")</formula>
    </cfRule>
    <cfRule type="expression" dxfId="525" priority="2390">
      <formula>AND($N$73&lt;0.7,$N$72&lt;=100%,$B$75="")</formula>
    </cfRule>
  </conditionalFormatting>
  <conditionalFormatting sqref="N96">
    <cfRule type="expression" dxfId="524" priority="2345">
      <formula>AND($N$95&lt;&gt;"",$N$96&lt;0.7,$B$98="")</formula>
    </cfRule>
    <cfRule type="expression" dxfId="523" priority="2315">
      <formula>AND($N$96&gt;=0.7,$N$96&lt;=100%,$B$98="")</formula>
    </cfRule>
  </conditionalFormatting>
  <conditionalFormatting sqref="N118">
    <cfRule type="expression" dxfId="522" priority="2131">
      <formula>AND($N$115&lt;&gt;"",$N$116&lt;&gt;"",$N$118&lt;0.7,$N$118&lt;&gt;"",$B$120="")</formula>
    </cfRule>
    <cfRule type="expression" dxfId="521" priority="2120">
      <formula>AND($N$118&gt;=0.7,$N$118&lt;=100%,$B$120="")</formula>
    </cfRule>
  </conditionalFormatting>
  <conditionalFormatting sqref="N156">
    <cfRule type="expression" dxfId="520" priority="2469">
      <formula>AND(N134&lt;&gt;"",N156&lt;100%,N156&lt;&gt;"",$B$158="")</formula>
    </cfRule>
    <cfRule type="expression" dxfId="519" priority="2273">
      <formula>AND(N156=100%,$B$158="")</formula>
    </cfRule>
  </conditionalFormatting>
  <conditionalFormatting sqref="N194">
    <cfRule type="expression" dxfId="518" priority="1874">
      <formula>AND(N173&lt;&gt;"",N194&lt;100%,N194&lt;&gt;"",$B$196="")</formula>
    </cfRule>
    <cfRule type="expression" dxfId="517" priority="1850">
      <formula>AND(N194=100%,$B$196="")</formula>
    </cfRule>
  </conditionalFormatting>
  <conditionalFormatting sqref="N337">
    <cfRule type="expression" dxfId="516" priority="79">
      <formula>AND(G330="Yes",G332&gt;=10,C335&lt;&gt;"")</formula>
    </cfRule>
    <cfRule type="expression" dxfId="515" priority="26">
      <formula>AND($G$330="Yes",$N$336&lt;&gt;"",$N$337="")</formula>
    </cfRule>
  </conditionalFormatting>
  <conditionalFormatting sqref="N339">
    <cfRule type="expression" dxfId="514" priority="11">
      <formula>AND($G$330="Yes",$N$336&lt;&gt;"",$N$339="")</formula>
    </cfRule>
    <cfRule type="expression" dxfId="513" priority="63">
      <formula>AND(G330="Yes",G332&gt;=10,C335&lt;&gt;"")</formula>
    </cfRule>
  </conditionalFormatting>
  <conditionalFormatting sqref="O12">
    <cfRule type="expression" dxfId="512" priority="16152">
      <formula>AND($D$16&lt;&gt;"",$D$411&lt;&gt;"",$D$415="")</formula>
    </cfRule>
  </conditionalFormatting>
  <conditionalFormatting sqref="O16">
    <cfRule type="expression" dxfId="511" priority="2822">
      <formula>P16=1</formula>
    </cfRule>
  </conditionalFormatting>
  <conditionalFormatting sqref="O18">
    <cfRule type="expression" dxfId="510" priority="1086">
      <formula>P18=1</formula>
    </cfRule>
  </conditionalFormatting>
  <conditionalFormatting sqref="O20">
    <cfRule type="expression" dxfId="509" priority="1085">
      <formula>P20=1</formula>
    </cfRule>
  </conditionalFormatting>
  <conditionalFormatting sqref="O23">
    <cfRule type="expression" dxfId="508" priority="1084">
      <formula>P23=1</formula>
    </cfRule>
  </conditionalFormatting>
  <conditionalFormatting sqref="O25">
    <cfRule type="expression" dxfId="507" priority="1087">
      <formula>P25=1</formula>
    </cfRule>
  </conditionalFormatting>
  <conditionalFormatting sqref="O37">
    <cfRule type="expression" dxfId="506" priority="1081">
      <formula>P37=1</formula>
    </cfRule>
  </conditionalFormatting>
  <conditionalFormatting sqref="O39">
    <cfRule type="expression" dxfId="505" priority="1095">
      <formula>P39=1</formula>
    </cfRule>
  </conditionalFormatting>
  <conditionalFormatting sqref="O44">
    <cfRule type="expression" dxfId="504" priority="1018">
      <formula>O44&lt;&gt;""</formula>
    </cfRule>
  </conditionalFormatting>
  <conditionalFormatting sqref="O46">
    <cfRule type="expression" dxfId="503" priority="395">
      <formula>O46&lt;&gt;""</formula>
    </cfRule>
  </conditionalFormatting>
  <conditionalFormatting sqref="O57">
    <cfRule type="expression" dxfId="502" priority="228">
      <formula>$O$57&lt;&gt;""</formula>
    </cfRule>
  </conditionalFormatting>
  <conditionalFormatting sqref="O58">
    <cfRule type="expression" dxfId="501" priority="227">
      <formula>$O$58&lt;&gt;""</formula>
    </cfRule>
  </conditionalFormatting>
  <conditionalFormatting sqref="O59">
    <cfRule type="expression" dxfId="500" priority="226">
      <formula>$O$59&lt;&gt;""</formula>
    </cfRule>
  </conditionalFormatting>
  <conditionalFormatting sqref="O61:O62">
    <cfRule type="expression" dxfId="499" priority="1088">
      <formula>P61=1</formula>
    </cfRule>
  </conditionalFormatting>
  <conditionalFormatting sqref="O63">
    <cfRule type="expression" dxfId="498" priority="1090">
      <formula>Q62=1</formula>
    </cfRule>
  </conditionalFormatting>
  <conditionalFormatting sqref="O66:O68">
    <cfRule type="expression" dxfId="497" priority="1091">
      <formula>P66=1</formula>
    </cfRule>
  </conditionalFormatting>
  <conditionalFormatting sqref="O73">
    <cfRule type="expression" dxfId="496" priority="1094">
      <formula>P73=1</formula>
    </cfRule>
  </conditionalFormatting>
  <conditionalFormatting sqref="O81">
    <cfRule type="expression" dxfId="495" priority="1013">
      <formula>O81&lt;&gt;""</formula>
    </cfRule>
  </conditionalFormatting>
  <conditionalFormatting sqref="O83:O84">
    <cfRule type="expression" dxfId="494" priority="731">
      <formula>O83&lt;&gt;""</formula>
    </cfRule>
  </conditionalFormatting>
  <conditionalFormatting sqref="O85">
    <cfRule type="expression" dxfId="493" priority="302">
      <formula>$O$85&lt;&gt;""</formula>
    </cfRule>
  </conditionalFormatting>
  <conditionalFormatting sqref="O92:O94">
    <cfRule type="expression" dxfId="492" priority="610">
      <formula>O92&lt;&gt;""</formula>
    </cfRule>
  </conditionalFormatting>
  <conditionalFormatting sqref="O96">
    <cfRule type="expression" dxfId="491" priority="609">
      <formula>O96&lt;&gt;""</formula>
    </cfRule>
  </conditionalFormatting>
  <conditionalFormatting sqref="O115:O116">
    <cfRule type="expression" dxfId="490" priority="1048">
      <formula>P115=1</formula>
    </cfRule>
  </conditionalFormatting>
  <conditionalFormatting sqref="O118">
    <cfRule type="expression" dxfId="489" priority="1047">
      <formula>P117=1</formula>
    </cfRule>
  </conditionalFormatting>
  <conditionalFormatting sqref="O131:O133">
    <cfRule type="expression" dxfId="488" priority="367">
      <formula>O131&lt;&gt;""</formula>
    </cfRule>
  </conditionalFormatting>
  <conditionalFormatting sqref="O137">
    <cfRule type="expression" dxfId="487" priority="362">
      <formula>O137&lt;&gt;""</formula>
    </cfRule>
  </conditionalFormatting>
  <conditionalFormatting sqref="O156">
    <cfRule type="expression" dxfId="486" priority="1045">
      <formula>P156=1</formula>
    </cfRule>
  </conditionalFormatting>
  <conditionalFormatting sqref="O168">
    <cfRule type="expression" dxfId="485" priority="356">
      <formula>$O$168&lt;&gt;""</formula>
    </cfRule>
  </conditionalFormatting>
  <conditionalFormatting sqref="O169">
    <cfRule type="expression" dxfId="484" priority="314">
      <formula>$O$169&lt;&gt;""</formula>
    </cfRule>
  </conditionalFormatting>
  <conditionalFormatting sqref="O170">
    <cfRule type="expression" dxfId="483" priority="355">
      <formula>$O$170&lt;&gt;""</formula>
    </cfRule>
  </conditionalFormatting>
  <conditionalFormatting sqref="O171">
    <cfRule type="expression" dxfId="482" priority="354">
      <formula>$O$171&lt;&gt;""</formula>
    </cfRule>
  </conditionalFormatting>
  <conditionalFormatting sqref="O172">
    <cfRule type="expression" dxfId="481" priority="565">
      <formula>O195&lt;&gt;""</formula>
    </cfRule>
  </conditionalFormatting>
  <conditionalFormatting sqref="O174">
    <cfRule type="expression" dxfId="480" priority="357">
      <formula>$O$174&lt;&gt;""</formula>
    </cfRule>
  </conditionalFormatting>
  <conditionalFormatting sqref="O194">
    <cfRule type="expression" dxfId="479" priority="1019">
      <formula>O194&lt;&gt;""</formula>
    </cfRule>
  </conditionalFormatting>
  <conditionalFormatting sqref="O208">
    <cfRule type="expression" dxfId="478" priority="501">
      <formula>$O$208&lt;&gt;""</formula>
    </cfRule>
  </conditionalFormatting>
  <conditionalFormatting sqref="O210">
    <cfRule type="expression" dxfId="477" priority="1017">
      <formula>O210&lt;&gt;""</formula>
    </cfRule>
  </conditionalFormatting>
  <conditionalFormatting sqref="O212">
    <cfRule type="expression" dxfId="476" priority="248">
      <formula>$O$212&lt;&gt;""</formula>
    </cfRule>
  </conditionalFormatting>
  <conditionalFormatting sqref="O215">
    <cfRule type="expression" dxfId="475" priority="253">
      <formula>$O$215&lt;&gt;""</formula>
    </cfRule>
  </conditionalFormatting>
  <conditionalFormatting sqref="O217">
    <cfRule type="expression" dxfId="474" priority="252">
      <formula>$O$217&lt;&gt;""</formula>
    </cfRule>
  </conditionalFormatting>
  <conditionalFormatting sqref="O219">
    <cfRule type="expression" dxfId="473" priority="251">
      <formula>$O$219&lt;&gt;""</formula>
    </cfRule>
  </conditionalFormatting>
  <conditionalFormatting sqref="O221">
    <cfRule type="expression" dxfId="472" priority="250">
      <formula>$O$221&lt;&gt;""</formula>
    </cfRule>
  </conditionalFormatting>
  <conditionalFormatting sqref="O223">
    <cfRule type="expression" dxfId="471" priority="249">
      <formula>$O$223&lt;&gt;""</formula>
    </cfRule>
  </conditionalFormatting>
  <conditionalFormatting sqref="O228">
    <cfRule type="expression" dxfId="470" priority="233">
      <formula>$O$228&lt;&gt;""</formula>
    </cfRule>
  </conditionalFormatting>
  <conditionalFormatting sqref="O240">
    <cfRule type="expression" dxfId="469" priority="16111">
      <formula>K208&gt;2</formula>
    </cfRule>
  </conditionalFormatting>
  <conditionalFormatting sqref="O243:O244">
    <cfRule type="expression" dxfId="468" priority="494">
      <formula>$O$243&lt;&gt;""</formula>
    </cfRule>
  </conditionalFormatting>
  <conditionalFormatting sqref="O290">
    <cfRule type="expression" dxfId="467" priority="466">
      <formula>O290&lt;&gt;""</formula>
    </cfRule>
  </conditionalFormatting>
  <conditionalFormatting sqref="O292">
    <cfRule type="expression" dxfId="466" priority="455">
      <formula>O292&lt;&gt;""</formula>
    </cfRule>
  </conditionalFormatting>
  <conditionalFormatting sqref="O294">
    <cfRule type="expression" dxfId="465" priority="306">
      <formula>O294&lt;&gt;""</formula>
    </cfRule>
  </conditionalFormatting>
  <conditionalFormatting sqref="O296">
    <cfRule type="expression" dxfId="464" priority="305">
      <formula>O296&lt;&gt;""</formula>
    </cfRule>
  </conditionalFormatting>
  <conditionalFormatting sqref="O298">
    <cfRule type="expression" dxfId="463" priority="451">
      <formula>O298&lt;&gt;""</formula>
    </cfRule>
  </conditionalFormatting>
  <conditionalFormatting sqref="O300">
    <cfRule type="expression" dxfId="462" priority="450">
      <formula>O300&lt;&gt;""</formula>
    </cfRule>
  </conditionalFormatting>
  <conditionalFormatting sqref="O302">
    <cfRule type="expression" dxfId="461" priority="449">
      <formula>O302&lt;&gt;""</formula>
    </cfRule>
  </conditionalFormatting>
  <conditionalFormatting sqref="O304">
    <cfRule type="expression" dxfId="460" priority="456">
      <formula>O304&lt;&gt;""</formula>
    </cfRule>
  </conditionalFormatting>
  <conditionalFormatting sqref="O306">
    <cfRule type="expression" dxfId="459" priority="465">
      <formula>O306&lt;&gt;""</formula>
    </cfRule>
  </conditionalFormatting>
  <conditionalFormatting sqref="O308">
    <cfRule type="expression" dxfId="458" priority="454">
      <formula>O308&lt;&gt;""</formula>
    </cfRule>
  </conditionalFormatting>
  <conditionalFormatting sqref="O311">
    <cfRule type="expression" dxfId="457" priority="437">
      <formula>O311&lt;&gt;""</formula>
    </cfRule>
  </conditionalFormatting>
  <conditionalFormatting sqref="O313">
    <cfRule type="expression" dxfId="456" priority="436">
      <formula>O313&lt;&gt;""</formula>
    </cfRule>
  </conditionalFormatting>
  <conditionalFormatting sqref="O315">
    <cfRule type="expression" dxfId="455" priority="435">
      <formula>O315&lt;&gt;""</formula>
    </cfRule>
  </conditionalFormatting>
  <conditionalFormatting sqref="O317:O318">
    <cfRule type="expression" dxfId="454" priority="431">
      <formula>O317&lt;&gt;""</formula>
    </cfRule>
  </conditionalFormatting>
  <conditionalFormatting sqref="O321">
    <cfRule type="expression" dxfId="453" priority="352">
      <formula>O321&lt;&gt;""</formula>
    </cfRule>
  </conditionalFormatting>
  <conditionalFormatting sqref="O323">
    <cfRule type="expression" dxfId="452" priority="428">
      <formula>$O$323&lt;&gt;""</formula>
    </cfRule>
  </conditionalFormatting>
  <conditionalFormatting sqref="O325">
    <cfRule type="expression" dxfId="451" priority="351">
      <formula>$O$325&lt;&gt;""</formula>
    </cfRule>
  </conditionalFormatting>
  <conditionalFormatting sqref="O327">
    <cfRule type="expression" dxfId="450" priority="333">
      <formula>$O$327&lt;&gt;""</formula>
    </cfRule>
  </conditionalFormatting>
  <conditionalFormatting sqref="O330">
    <cfRule type="expression" dxfId="449" priority="344">
      <formula>$O$330&lt;&gt;""</formula>
    </cfRule>
  </conditionalFormatting>
  <conditionalFormatting sqref="O332">
    <cfRule type="expression" dxfId="448" priority="89">
      <formula>$O$332&lt;&gt;""</formula>
    </cfRule>
  </conditionalFormatting>
  <conditionalFormatting sqref="O334">
    <cfRule type="expression" dxfId="447" priority="1015">
      <formula>O334&lt;&gt;""</formula>
    </cfRule>
  </conditionalFormatting>
  <conditionalFormatting sqref="O337">
    <cfRule type="expression" dxfId="446" priority="25">
      <formula>AND($G$330="Yes",$O$336&lt;&gt;"",$O$337="")</formula>
    </cfRule>
    <cfRule type="expression" dxfId="445" priority="78">
      <formula>AND(G330="Yes",G332&gt;=11,C335&lt;&gt;"")</formula>
    </cfRule>
  </conditionalFormatting>
  <conditionalFormatting sqref="O339">
    <cfRule type="expression" dxfId="444" priority="62">
      <formula>AND(G330="Yes",G332&gt;=11,C335&lt;&gt;"")</formula>
    </cfRule>
    <cfRule type="expression" dxfId="443" priority="10">
      <formula>AND($G$330="Yes",$O$336&lt;&gt;"",$O$339="")</formula>
    </cfRule>
  </conditionalFormatting>
  <conditionalFormatting sqref="O343">
    <cfRule type="expression" dxfId="442" priority="52">
      <formula>$O$343&lt;&gt;""</formula>
    </cfRule>
  </conditionalFormatting>
  <conditionalFormatting sqref="O345">
    <cfRule type="expression" dxfId="441" priority="51">
      <formula>$O$345&lt;&gt;""</formula>
    </cfRule>
  </conditionalFormatting>
  <conditionalFormatting sqref="O347">
    <cfRule type="expression" dxfId="440" priority="106">
      <formula>$O$347&lt;&gt;""</formula>
    </cfRule>
  </conditionalFormatting>
  <conditionalFormatting sqref="O350">
    <cfRule type="expression" dxfId="439" priority="109">
      <formula>$O$350&lt;&gt;""</formula>
    </cfRule>
  </conditionalFormatting>
  <conditionalFormatting sqref="O352">
    <cfRule type="expression" dxfId="438" priority="103">
      <formula>$O$352&lt;&gt;""</formula>
    </cfRule>
  </conditionalFormatting>
  <conditionalFormatting sqref="O354">
    <cfRule type="expression" dxfId="437" priority="50">
      <formula>$O$354&lt;&gt;""</formula>
    </cfRule>
  </conditionalFormatting>
  <conditionalFormatting sqref="O356">
    <cfRule type="expression" dxfId="436" priority="116">
      <formula>$O$356&lt;&gt;""</formula>
    </cfRule>
  </conditionalFormatting>
  <conditionalFormatting sqref="O358">
    <cfRule type="expression" dxfId="435" priority="115">
      <formula>$O$358&lt;&gt;""</formula>
    </cfRule>
  </conditionalFormatting>
  <conditionalFormatting sqref="O360">
    <cfRule type="expression" dxfId="434" priority="114">
      <formula>$O$360&lt;&gt;""</formula>
    </cfRule>
  </conditionalFormatting>
  <conditionalFormatting sqref="O362">
    <cfRule type="expression" dxfId="433" priority="326">
      <formula>$O$362&lt;&gt;""</formula>
    </cfRule>
  </conditionalFormatting>
  <conditionalFormatting sqref="O364">
    <cfRule type="expression" dxfId="432" priority="170">
      <formula>$O$364&lt;&gt;""</formula>
    </cfRule>
  </conditionalFormatting>
  <conditionalFormatting sqref="O366">
    <cfRule type="expression" dxfId="431" priority="167">
      <formula>$O$366&lt;&gt;""</formula>
    </cfRule>
  </conditionalFormatting>
  <conditionalFormatting sqref="O368">
    <cfRule type="expression" dxfId="430" priority="164">
      <formula>O368&lt;&gt;""</formula>
    </cfRule>
  </conditionalFormatting>
  <conditionalFormatting sqref="O370">
    <cfRule type="expression" dxfId="429" priority="165">
      <formula>$O$370&lt;&gt;""</formula>
    </cfRule>
  </conditionalFormatting>
  <conditionalFormatting sqref="O372">
    <cfRule type="expression" dxfId="428" priority="160">
      <formula>O372&lt;&gt;""</formula>
    </cfRule>
  </conditionalFormatting>
  <conditionalFormatting sqref="O374">
    <cfRule type="expression" dxfId="427" priority="161">
      <formula>$O$374&lt;&gt;""</formula>
    </cfRule>
  </conditionalFormatting>
  <conditionalFormatting sqref="O376">
    <cfRule type="expression" dxfId="426" priority="5">
      <formula>$O$376&lt;&gt;""</formula>
    </cfRule>
  </conditionalFormatting>
  <conditionalFormatting sqref="O378">
    <cfRule type="expression" dxfId="425" priority="101">
      <formula>$O$378&lt;&gt;""</formula>
    </cfRule>
  </conditionalFormatting>
  <conditionalFormatting sqref="O379">
    <cfRule type="expression" dxfId="424" priority="100">
      <formula>$O$411&lt;&gt;""</formula>
    </cfRule>
  </conditionalFormatting>
  <conditionalFormatting sqref="O381">
    <cfRule type="expression" dxfId="423" priority="43">
      <formula>$O$381&lt;&gt;""</formula>
    </cfRule>
  </conditionalFormatting>
  <conditionalFormatting sqref="O383">
    <cfRule type="expression" dxfId="422" priority="42">
      <formula>$O$383&lt;&gt;""</formula>
    </cfRule>
  </conditionalFormatting>
  <conditionalFormatting sqref="O385">
    <cfRule type="expression" dxfId="421" priority="41">
      <formula>$O$385&lt;&gt;""</formula>
    </cfRule>
  </conditionalFormatting>
  <conditionalFormatting sqref="O387">
    <cfRule type="expression" dxfId="420" priority="40">
      <formula>$O$387&lt;&gt;""</formula>
    </cfRule>
  </conditionalFormatting>
  <conditionalFormatting sqref="O389">
    <cfRule type="expression" dxfId="419" priority="39">
      <formula>$O$389&lt;&gt;""</formula>
    </cfRule>
  </conditionalFormatting>
  <conditionalFormatting sqref="O391">
    <cfRule type="expression" dxfId="418" priority="38">
      <formula>$O$391&lt;&gt;""</formula>
    </cfRule>
  </conditionalFormatting>
  <conditionalFormatting sqref="O393">
    <cfRule type="expression" dxfId="417" priority="2">
      <formula>O393&lt;&gt;""</formula>
    </cfRule>
  </conditionalFormatting>
  <conditionalFormatting sqref="O397">
    <cfRule type="expression" dxfId="416" priority="157">
      <formula>O397&lt;&gt;""</formula>
    </cfRule>
  </conditionalFormatting>
  <conditionalFormatting sqref="O399">
    <cfRule type="expression" dxfId="415" priority="158">
      <formula>$O$399&lt;&gt;""</formula>
    </cfRule>
  </conditionalFormatting>
  <conditionalFormatting sqref="O401">
    <cfRule type="expression" dxfId="414" priority="153">
      <formula>$O$401&lt;&gt;""</formula>
    </cfRule>
  </conditionalFormatting>
  <conditionalFormatting sqref="O405">
    <cfRule type="expression" dxfId="413" priority="1083">
      <formula>P405=1</formula>
    </cfRule>
  </conditionalFormatting>
  <conditionalFormatting sqref="O407">
    <cfRule type="expression" dxfId="412" priority="1082">
      <formula>P407=1</formula>
    </cfRule>
  </conditionalFormatting>
  <conditionalFormatting sqref="O409">
    <cfRule type="expression" dxfId="411" priority="1014">
      <formula>O409&lt;&gt;""</formula>
    </cfRule>
  </conditionalFormatting>
  <conditionalFormatting sqref="P337">
    <cfRule type="expression" dxfId="410" priority="77">
      <formula>AND(G330="Yes",G332&gt;=12,C335&lt;&gt;"")</formula>
    </cfRule>
    <cfRule type="expression" dxfId="409" priority="24">
      <formula>AND($G$330="Yes",$P$336&lt;&gt;"",$P$337="")</formula>
    </cfRule>
  </conditionalFormatting>
  <conditionalFormatting sqref="P339">
    <cfRule type="expression" dxfId="408" priority="9">
      <formula>AND($G$330="Yes",$P$336&lt;&gt;"",$P$339="")</formula>
    </cfRule>
    <cfRule type="expression" dxfId="407" priority="61">
      <formula>AND(G330="Yes",G332&gt;=12,C335&lt;&gt;"")</formula>
    </cfRule>
  </conditionalFormatting>
  <conditionalFormatting sqref="Q91">
    <cfRule type="expression" dxfId="406" priority="638">
      <formula>$Q$88="No"</formula>
    </cfRule>
  </conditionalFormatting>
  <conditionalFormatting sqref="Q95">
    <cfRule type="expression" dxfId="405" priority="636">
      <formula>$Q$88="No"</formula>
    </cfRule>
  </conditionalFormatting>
  <conditionalFormatting sqref="Q337">
    <cfRule type="expression" dxfId="404" priority="76">
      <formula>AND(G330="Yes",G332&gt;=13,C335&lt;&gt;"")</formula>
    </cfRule>
    <cfRule type="expression" dxfId="403" priority="23">
      <formula>AND($G$330="Yes",$Q$336&lt;&gt;"",$Q$337="")</formula>
    </cfRule>
  </conditionalFormatting>
  <conditionalFormatting sqref="Q339">
    <cfRule type="expression" dxfId="402" priority="8">
      <formula>AND($G$330="Yes",$Q$336&lt;&gt;"",$Q$339="")</formula>
    </cfRule>
    <cfRule type="expression" dxfId="401" priority="60">
      <formula>AND(G330="Yes",G332&gt;=13,C335&lt;&gt;"")</formula>
    </cfRule>
  </conditionalFormatting>
  <conditionalFormatting sqref="R337">
    <cfRule type="expression" dxfId="400" priority="75">
      <formula>AND(G330="Yes",G332&gt;=14,C335&lt;&gt;"")</formula>
    </cfRule>
    <cfRule type="expression" dxfId="399" priority="22">
      <formula>AND($G$330="Yes",$R$336&lt;&gt;"",$R$337="")</formula>
    </cfRule>
  </conditionalFormatting>
  <conditionalFormatting sqref="R339">
    <cfRule type="expression" dxfId="398" priority="7">
      <formula>AND($G$330="Yes",$R$336&lt;&gt;"",$R$339="")</formula>
    </cfRule>
    <cfRule type="expression" dxfId="397" priority="59">
      <formula>AND(G330="Yes",G332&gt;=14,C335&lt;&gt;"")</formula>
    </cfRule>
  </conditionalFormatting>
  <conditionalFormatting sqref="R54:Z54 R56:Z64">
    <cfRule type="expression" dxfId="396" priority="301">
      <formula>$P$54&lt;&gt;""</formula>
    </cfRule>
  </conditionalFormatting>
  <conditionalFormatting sqref="R66:Z76">
    <cfRule type="expression" dxfId="395" priority="300">
      <formula>$P$54&lt;&gt;""</formula>
    </cfRule>
  </conditionalFormatting>
  <conditionalFormatting sqref="R87:Z93">
    <cfRule type="expression" dxfId="394" priority="299">
      <formula>$P$83&lt;&gt;""</formula>
    </cfRule>
  </conditionalFormatting>
  <conditionalFormatting sqref="R95:Z100">
    <cfRule type="expression" dxfId="393" priority="298">
      <formula>$P$83&lt;&gt;""</formula>
    </cfRule>
  </conditionalFormatting>
  <conditionalFormatting sqref="R109:Z115">
    <cfRule type="expression" dxfId="392" priority="297">
      <formula>$P$107&lt;&gt;""</formula>
    </cfRule>
  </conditionalFormatting>
  <conditionalFormatting sqref="R117:Z122">
    <cfRule type="expression" dxfId="391" priority="296">
      <formula>$P$107&lt;&gt;""</formula>
    </cfRule>
  </conditionalFormatting>
  <conditionalFormatting sqref="S337">
    <cfRule type="expression" dxfId="390" priority="74">
      <formula>AND(G330="Yes",G332&gt;=15,C335&lt;&gt;"")</formula>
    </cfRule>
    <cfRule type="expression" dxfId="389" priority="21">
      <formula>AND($G$330="Yes",$S$336&lt;&gt;"",$S$337="")</formula>
    </cfRule>
  </conditionalFormatting>
  <conditionalFormatting sqref="S339">
    <cfRule type="expression" dxfId="388" priority="6">
      <formula>AND($G$330="Yes",$S$336&lt;&gt;"",$S$339="")</formula>
    </cfRule>
    <cfRule type="expression" dxfId="387" priority="58">
      <formula>AND(G330="Yes",G332&gt;=15,C335&lt;&gt;"")</formula>
    </cfRule>
  </conditionalFormatting>
  <conditionalFormatting sqref="Y129">
    <cfRule type="expression" dxfId="386" priority="506">
      <formula>$Y$129&lt;&gt;""</formula>
    </cfRule>
  </conditionalFormatting>
  <conditionalFormatting sqref="Y166">
    <cfRule type="expression" dxfId="385" priority="504">
      <formula>$Y$166&lt;&gt;""</formula>
    </cfRule>
  </conditionalFormatting>
  <conditionalFormatting sqref="Z83">
    <cfRule type="expression" dxfId="384" priority="633">
      <formula>$Q$88="No"</formula>
    </cfRule>
  </conditionalFormatting>
  <conditionalFormatting sqref="AA54">
    <cfRule type="expression" dxfId="383" priority="239">
      <formula>AA54&lt;&gt;""</formula>
    </cfRule>
  </conditionalFormatting>
  <conditionalFormatting sqref="AA67">
    <cfRule type="expression" dxfId="382" priority="238">
      <formula>$AA$67&lt;&gt;""</formula>
    </cfRule>
  </conditionalFormatting>
  <conditionalFormatting sqref="AA87">
    <cfRule type="expression" dxfId="381" priority="237">
      <formula>$AA$87&lt;&gt;""</formula>
    </cfRule>
  </conditionalFormatting>
  <conditionalFormatting sqref="AA95">
    <cfRule type="expression" dxfId="380" priority="236">
      <formula>$AA$95&lt;&gt;""</formula>
    </cfRule>
  </conditionalFormatting>
  <conditionalFormatting sqref="AA110">
    <cfRule type="expression" dxfId="379" priority="235">
      <formula>$AA$110&lt;&gt;""</formula>
    </cfRule>
  </conditionalFormatting>
  <conditionalFormatting sqref="AA118">
    <cfRule type="expression" dxfId="378" priority="234">
      <formula>$AA$118&lt;&gt;""</formula>
    </cfRule>
  </conditionalFormatting>
  <conditionalFormatting sqref="AG117:AG118">
    <cfRule type="expression" dxfId="377" priority="2177">
      <formula>AND(U118&lt;0.7,U118&lt;&gt;0,I120="")</formula>
    </cfRule>
  </conditionalFormatting>
  <conditionalFormatting sqref="AI95 AP95">
    <cfRule type="expression" dxfId="376" priority="628">
      <formula>AI93="Yes"</formula>
    </cfRule>
  </conditionalFormatting>
  <conditionalFormatting sqref="AI129">
    <cfRule type="expression" dxfId="375" priority="505">
      <formula>$AI$129&lt;&gt;""</formula>
    </cfRule>
  </conditionalFormatting>
  <conditionalFormatting sqref="AI166">
    <cfRule type="expression" dxfId="374" priority="503">
      <formula>$AI$166&lt;&gt;""</formula>
    </cfRule>
  </conditionalFormatting>
  <conditionalFormatting sqref="AI59:AO60">
    <cfRule type="expression" dxfId="373" priority="2205">
      <formula>$AI$56="No"</formula>
    </cfRule>
  </conditionalFormatting>
  <conditionalFormatting sqref="AI65:AO66">
    <cfRule type="expression" dxfId="372" priority="2204">
      <formula>$AI$56="No"</formula>
    </cfRule>
  </conditionalFormatting>
  <conditionalFormatting sqref="AI69:AO70">
    <cfRule type="expression" dxfId="371" priority="2203">
      <formula>$AI$56="No"</formula>
    </cfRule>
  </conditionalFormatting>
  <conditionalFormatting sqref="AP119">
    <cfRule type="expression" dxfId="370" priority="2173">
      <formula>AP117="Yes"</formula>
    </cfRule>
  </conditionalFormatting>
  <conditionalFormatting sqref="AR95 AY95">
    <cfRule type="expression" dxfId="369" priority="624">
      <formula>$AR$93="No"</formula>
    </cfRule>
  </conditionalFormatting>
  <conditionalFormatting sqref="AY71">
    <cfRule type="expression" dxfId="368" priority="544">
      <formula>AY72&lt;&gt;""</formula>
    </cfRule>
  </conditionalFormatting>
  <conditionalFormatting sqref="AY119">
    <cfRule type="expression" dxfId="367" priority="2914">
      <formula>#REF!="No"</formula>
    </cfRule>
  </conditionalFormatting>
  <conditionalFormatting sqref="BA87">
    <cfRule type="expression" dxfId="366" priority="621">
      <formula>$BA$85="No"</formula>
    </cfRule>
  </conditionalFormatting>
  <conditionalFormatting sqref="BA66:BG67">
    <cfRule type="expression" dxfId="365" priority="2190">
      <formula>AND($BA$56="No",$BA$60="No")</formula>
    </cfRule>
  </conditionalFormatting>
  <conditionalFormatting sqref="BH64">
    <cfRule type="expression" dxfId="364" priority="540">
      <formula>BG64&lt;&gt;""</formula>
    </cfRule>
  </conditionalFormatting>
  <conditionalFormatting sqref="BH71">
    <cfRule type="expression" dxfId="363" priority="539">
      <formula>BH72&lt;&gt;""</formula>
    </cfRule>
  </conditionalFormatting>
  <conditionalFormatting sqref="BH111">
    <cfRule type="expression" dxfId="362" priority="2915">
      <formula>#REF!="No"</formula>
    </cfRule>
  </conditionalFormatting>
  <conditionalFormatting sqref="BJ86">
    <cfRule type="expression" dxfId="361" priority="617">
      <formula>$BJ$85="No"</formula>
    </cfRule>
  </conditionalFormatting>
  <conditionalFormatting sqref="BM106:BQ106">
    <cfRule type="expression" dxfId="360" priority="1170">
      <formula>P109&lt;&gt;""</formula>
    </cfRule>
  </conditionalFormatting>
  <conditionalFormatting sqref="BQ56">
    <cfRule type="expression" dxfId="359" priority="538">
      <formula>BQ56&lt;&gt;""</formula>
    </cfRule>
  </conditionalFormatting>
  <conditionalFormatting sqref="BQ71">
    <cfRule type="expression" dxfId="358" priority="537">
      <formula>BQ71&lt;&gt;""</formula>
    </cfRule>
  </conditionalFormatting>
  <conditionalFormatting sqref="BQ85">
    <cfRule type="expression" dxfId="357" priority="522">
      <formula>$BQ$85&lt;&gt;""</formula>
    </cfRule>
  </conditionalFormatting>
  <conditionalFormatting sqref="BQ110">
    <cfRule type="expression" dxfId="356" priority="2916">
      <formula>#REF!="No"</formula>
    </cfRule>
  </conditionalFormatting>
  <conditionalFormatting sqref="BR104">
    <cfRule type="expression" dxfId="355" priority="2845">
      <formula>T107&lt;&gt;""</formula>
    </cfRule>
  </conditionalFormatting>
  <conditionalFormatting sqref="BV86:CE86">
    <cfRule type="expression" dxfId="354" priority="615">
      <formula>$BV$85="No"</formula>
    </cfRule>
  </conditionalFormatting>
  <conditionalFormatting sqref="CA124">
    <cfRule type="expression" dxfId="353" priority="1181">
      <formula>P127&lt;&gt;""</formula>
    </cfRule>
  </conditionalFormatting>
  <conditionalFormatting sqref="CA161">
    <cfRule type="expression" dxfId="352" priority="1180">
      <formula>P164&lt;&gt;""</formula>
    </cfRule>
  </conditionalFormatting>
  <conditionalFormatting sqref="CA199">
    <cfRule type="expression" dxfId="351" priority="16013">
      <formula>#REF!&lt;&gt;""</formula>
    </cfRule>
  </conditionalFormatting>
  <conditionalFormatting sqref="CF85">
    <cfRule type="expression" dxfId="350" priority="520">
      <formula>$CF$85&lt;&gt;""</formula>
    </cfRule>
  </conditionalFormatting>
  <conditionalFormatting sqref="CJ243:CJ244">
    <cfRule type="expression" dxfId="349" priority="470">
      <formula>$CJ$243&lt;&gt;""</formula>
    </cfRule>
  </conditionalFormatting>
  <dataValidations count="23">
    <dataValidation type="list" allowBlank="1" showInputMessage="1" showErrorMessage="1" sqref="H20" xr:uid="{00000000-0002-0000-0000-000000000000}">
      <formula1>"AK, AL, AR, AZ, CA, CO, CT, DC, DE, FL, GA, HI, IA, ID, IL, IN, KS, KY, LA, MA, MD, ME, MI, MN, MO, MS, MT, NC, ND, NE, NH, NJ, NM, NV, NY, OH, OK, OR, PA, RI, SC, SD, TN, TX, UT, VA, VT, WA, WI, WV, WY"</formula1>
    </dataValidation>
    <dataValidation type="list" allowBlank="1" showInputMessage="1" showErrorMessage="1" sqref="G259 I268:I282 G261 D261 D263 D259" xr:uid="{00000000-0002-0000-0000-000001000000}">
      <formula1>"Yes, No"</formula1>
    </dataValidation>
    <dataValidation type="list" allowBlank="1" showInputMessage="1" showErrorMessage="1" sqref="G39" xr:uid="{00000000-0002-0000-0000-000002000000}">
      <formula1>" Please Select,0,1,2,3,4,5,6,7,8"</formula1>
    </dataValidation>
    <dataValidation type="list" allowBlank="1" showInputMessage="1" showErrorMessage="1" sqref="AI61" xr:uid="{00000000-0002-0000-0000-000003000000}">
      <formula1>"Please Select, No, Yes"</formula1>
    </dataValidation>
    <dataValidation type="list" allowBlank="1" showInputMessage="1" showErrorMessage="1" sqref="G212:H212" xr:uid="{00000000-0002-0000-0000-000004000000}">
      <formula1>"1,2,3,4,5,6,7,8,9,10"</formula1>
    </dataValidation>
    <dataValidation type="list" allowBlank="1" showInputMessage="1" showErrorMessage="1" sqref="D23:F23" xr:uid="{00000000-0002-0000-0000-000005000000}">
      <formula1>"Please Select, Letter of Review, Initial Accreditation, Continuing Accreditation, Probationary Accreditation, Inactive"</formula1>
    </dataValidation>
    <dataValidation type="list" allowBlank="1" showInputMessage="1" showErrorMessage="1" sqref="G405 G308 G210:H210 G257 G81:H81 G356 G358 G360 G362 G364 G330 G208:H208 G354 G366 G368 G370 G372 G374 G389 G391 G381 G383 G385 G387" xr:uid="{00000000-0002-0000-0000-000006000000}">
      <formula1>"Please Select, Yes, No"</formula1>
    </dataValidation>
    <dataValidation type="list" allowBlank="1" showInputMessage="1" showErrorMessage="1" sqref="G37" xr:uid="{00000000-0002-0000-0000-000007000000}">
      <formula1>"Please Select, Yes,No"</formula1>
    </dataValidation>
    <dataValidation type="list" allowBlank="1" showInputMessage="1" showErrorMessage="1" sqref="E215:G215 E217:G217 E219:G219 L215:N215 E221:G221 E223:G223 L217:N217 L219:N219 L221:N221 L223:N223" xr:uid="{00000000-0002-0000-0000-000008000000}">
      <formula1>"Faculty, Medical Director, Support Personnel, Curriculum, Financial Resources, Facilities, Clinical Resources, Field Internship Resources, Learning Resources, Physician Interaction"</formula1>
    </dataValidation>
    <dataValidation type="list" allowBlank="1" showInputMessage="1" showErrorMessage="1" sqref="G44 G46" xr:uid="{00000000-0002-0000-0000-000009000000}">
      <formula1>"Please Select,Yes, No"</formula1>
    </dataValidation>
    <dataValidation type="list" allowBlank="1" showInputMessage="1" showErrorMessage="1" sqref="C409" xr:uid="{00000000-0002-0000-0000-00000A000000}">
      <formula1>"Please Select, Yes"</formula1>
    </dataValidation>
    <dataValidation type="list" allowBlank="1" showInputMessage="1" showErrorMessage="1" sqref="G84:H84" xr:uid="{00000000-0002-0000-0000-00000B000000}">
      <formula1>"National Registry, State"</formula1>
    </dataValidation>
    <dataValidation type="list" allowBlank="1" showInputMessage="1" showErrorMessage="1" sqref="S85" xr:uid="{00000000-0002-0000-0000-00000C000000}">
      <formula1>"Please Select, Improving, Steady, Declining"</formula1>
    </dataValidation>
    <dataValidation type="list" allowBlank="1" showInputMessage="1" showErrorMessage="1" sqref="G313 G315 G317" xr:uid="{00000000-0002-0000-0000-00000D000000}">
      <formula1>"Please Select, Yes, N/A"</formula1>
    </dataValidation>
    <dataValidation type="whole" allowBlank="1" showInputMessage="1" showErrorMessage="1" error="Please provide the hours as a whole number" sqref="G290 G298 G300 G302 G294 G296" xr:uid="{00000000-0002-0000-0000-00000E000000}">
      <formula1>0</formula1>
      <formula2>9999</formula2>
    </dataValidation>
    <dataValidation type="whole" allowBlank="1" showInputMessage="1" showErrorMessage="1" error="Please provide the number of faculty as a whole number" sqref="G304" xr:uid="{00000000-0002-0000-0000-00000F000000}">
      <formula1>0</formula1>
      <formula2>100</formula2>
    </dataValidation>
    <dataValidation type="whole" allowBlank="1" showInputMessage="1" showErrorMessage="1" error="Please provide the number of months as a whole number" sqref="G306" xr:uid="{00000000-0002-0000-0000-000010000000}">
      <formula1>0</formula1>
      <formula2>100</formula2>
    </dataValidation>
    <dataValidation type="whole" allowBlank="1" showInputMessage="1" showErrorMessage="1" error="Please provide percentage as a whole number" sqref="G321 G323 G325 G337 G339" xr:uid="{00000000-0002-0000-0000-000011000000}">
      <formula1>0</formula1>
      <formula2>100</formula2>
    </dataValidation>
    <dataValidation type="list" allowBlank="1" showInputMessage="1" showErrorMessage="1" sqref="G350" xr:uid="{9256535B-94E4-4A64-9670-2647FAD1D7D5}">
      <formula1>"Please Select, Yes, No, Both Not Offered"</formula1>
    </dataValidation>
    <dataValidation type="list" allowBlank="1" showInputMessage="1" showErrorMessage="1" sqref="G347" xr:uid="{7642A2AB-E219-4919-85AA-3C5B216DD86F}">
      <formula1>"Please Select, Daily, Multiple times per week, Once weekly, Multiple times per month, Once monthly, Never"</formula1>
    </dataValidation>
    <dataValidation type="list" allowBlank="1" showInputMessage="1" showErrorMessage="1" sqref="G352" xr:uid="{582A7149-355E-40D0-8C07-5B6EB3259563}">
      <formula1>"Please Select, Higher, Lower, Equal, We don't make a comparison, We don't offer both"</formula1>
    </dataValidation>
    <dataValidation type="list" allowBlank="1" showInputMessage="1" showErrorMessage="1" sqref="G332" xr:uid="{DF89103E-920C-4774-A364-7C5699B9DE6E}">
      <formula1>"Please Select, 1, 2,3,4,5,6,7,8,9,10,11,12,13,14,15"</formula1>
    </dataValidation>
    <dataValidation type="list" allowBlank="1" showInputMessage="1" showErrorMessage="1" sqref="G343" xr:uid="{CABAAA45-B6B9-45C2-95E7-83BBADDC275C}">
      <formula1>"Please Select, Asynchronous, Synchronous, Both"</formula1>
    </dataValidation>
  </dataValidations>
  <hyperlinks>
    <hyperlink ref="B255:L255" r:id="rId2" display="http://coaemsp.org/Policy_Procedures.htm" xr:uid="{00000000-0004-0000-0000-000000000000}"/>
    <hyperlink ref="B205:L205" r:id="rId3" display="http://coaemsp.org/Policy_Procedures.htm" xr:uid="{00000000-0004-0000-0000-000001000000}"/>
    <hyperlink ref="B205" r:id="rId4" display="http://coaemsp.org/Evaluations.htm" xr:uid="{00000000-0004-0000-0000-000002000000}"/>
    <hyperlink ref="CA124:CE124" location="'2017 Annual Report'!A124" display="'2017 Annual Report'!A124" xr:uid="{00000000-0004-0000-0000-000003000000}"/>
    <hyperlink ref="CA161:CE161" location="'2017 Annual Report'!A124" display="'2017 Annual Report'!A124" xr:uid="{00000000-0004-0000-0000-000004000000}"/>
    <hyperlink ref="CA199:CE199" location="'2017 Annual Report'!A124" display="'2017 Annual Report'!A124" xr:uid="{00000000-0004-0000-0000-000005000000}"/>
    <hyperlink ref="L10" r:id="rId5" xr:uid="{00000000-0004-0000-0000-000006000000}"/>
    <hyperlink ref="V52:X52" r:id="rId6" display="https://coaemsp.org/resource-library" xr:uid="{00000000-0004-0000-0000-000007000000}"/>
    <hyperlink ref="V82:X82" r:id="rId7" display="https://coaemsp.org/resource-library" xr:uid="{00000000-0004-0000-0000-000008000000}"/>
    <hyperlink ref="V107:X107" r:id="rId8" display="https://coaemsp.org/resource-library" xr:uid="{00000000-0004-0000-0000-000009000000}"/>
    <hyperlink ref="B205:N205" r:id="rId9" display="CoAEMSP Resource Library" xr:uid="{00000000-0004-0000-0000-00000A000000}"/>
  </hyperlinks>
  <printOptions horizontalCentered="1"/>
  <pageMargins left="0.15" right="0.15" top="0.25" bottom="0.25" header="0" footer="0"/>
  <pageSetup scale="57" fitToWidth="0" pageOrder="overThenDown" orientation="landscape" r:id="rId10"/>
  <rowBreaks count="9" manualBreakCount="9">
    <brk id="47" max="13" man="1"/>
    <brk id="77" max="13" man="1"/>
    <brk id="103" max="13" man="1"/>
    <brk id="124" max="13" man="1"/>
    <brk id="161" max="13" man="1"/>
    <brk id="199" max="13" man="1"/>
    <brk id="212" max="13" man="1"/>
    <brk id="249" max="13" man="1"/>
    <brk id="310" max="13" man="1"/>
  </rowBreaks>
  <colBreaks count="6" manualBreakCount="6">
    <brk id="14" max="1048575" man="1"/>
    <brk id="33" max="429" man="1"/>
    <brk id="51" max="429" man="1"/>
    <brk id="69" max="1048575" man="1"/>
    <brk id="88" max="307" man="1"/>
    <brk id="106" max="307" man="1"/>
  </colBreaks>
  <ignoredErrors>
    <ignoredError sqref="H216 H218 H220 H222 O216 O218 O220" formula="1"/>
    <ignoredError sqref="O222" formula="1" unlockedFormula="1"/>
    <ignoredError sqref="O224" unlockedFormula="1"/>
  </ignoredErrors>
  <drawing r:id="rId11"/>
  <legacyDrawing r:id="rId12"/>
  <extLst>
    <ext xmlns:x14="http://schemas.microsoft.com/office/spreadsheetml/2009/9/main" uri="{78C0D931-6437-407d-A8EE-F0AAD7539E65}">
      <x14:conditionalFormattings>
        <x14:conditionalFormatting xmlns:xm="http://schemas.microsoft.com/office/excel/2006/main">
          <x14:cfRule type="expression" priority="379" id="{0CAE3229-CF7D-4B01-8C09-0E84F91C2568}">
            <xm:f>'2023 Satellite(s)'!$B$82:$N$82&lt;&gt;""</xm:f>
            <x14:dxf>
              <font>
                <b/>
                <i val="0"/>
                <color rgb="FFC00000"/>
              </font>
              <fill>
                <patternFill>
                  <bgColor rgb="FFFFFF00"/>
                </patternFill>
              </fill>
            </x14:dxf>
          </x14:cfRule>
          <xm:sqref>M61:M64 M66:M73</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4" tint="-0.249977111117893"/>
  </sheetPr>
  <dimension ref="A1:CF125"/>
  <sheetViews>
    <sheetView showGridLines="0" topLeftCell="A11" zoomScaleNormal="100" workbookViewId="0">
      <selection activeCell="C39" sqref="C39:E39"/>
    </sheetView>
  </sheetViews>
  <sheetFormatPr defaultColWidth="9.08984375" defaultRowHeight="14.5" x14ac:dyDescent="0.35"/>
  <cols>
    <col min="1" max="1" width="4.7265625" style="10" customWidth="1"/>
    <col min="2" max="2" width="4.36328125" customWidth="1"/>
    <col min="3" max="3" width="21.81640625" customWidth="1"/>
    <col min="4" max="4" width="20.81640625" customWidth="1"/>
    <col min="5" max="6" width="11.36328125" customWidth="1"/>
    <col min="7" max="7" width="13.36328125" customWidth="1"/>
    <col min="8" max="13" width="11.36328125" customWidth="1"/>
    <col min="14" max="14" width="14" customWidth="1"/>
    <col min="16" max="16" width="9.08984375" style="3" customWidth="1"/>
    <col min="17" max="19" width="9.08984375" customWidth="1"/>
    <col min="20" max="20" width="10.6328125" customWidth="1"/>
    <col min="21" max="21" width="11" customWidth="1"/>
    <col min="22" max="22" width="11.08984375" customWidth="1"/>
    <col min="23" max="27" width="10.6328125" customWidth="1"/>
    <col min="28" max="28" width="11.7265625" customWidth="1"/>
  </cols>
  <sheetData>
    <row r="1" spans="1:32" x14ac:dyDescent="0.35">
      <c r="A1" s="157"/>
    </row>
    <row r="2" spans="1:32" ht="63" customHeight="1" x14ac:dyDescent="0.35">
      <c r="D2" s="465" t="s">
        <v>2</v>
      </c>
      <c r="E2" s="465"/>
      <c r="F2" s="465"/>
      <c r="G2" s="465"/>
      <c r="H2" s="465"/>
      <c r="I2" s="465"/>
      <c r="J2" s="465"/>
      <c r="K2" s="465"/>
      <c r="L2" s="465"/>
      <c r="R2" s="3"/>
      <c r="S2" s="3"/>
      <c r="T2" s="3"/>
      <c r="U2" s="3"/>
      <c r="V2" s="3"/>
      <c r="W2" s="3"/>
      <c r="X2" s="3"/>
      <c r="Y2" s="3"/>
      <c r="Z2" s="3"/>
      <c r="AA2" s="3"/>
      <c r="AB2" s="3"/>
      <c r="AC2" s="3"/>
      <c r="AD2" s="3"/>
      <c r="AE2" s="10"/>
      <c r="AF2" s="10"/>
    </row>
    <row r="3" spans="1:32" ht="10.5" customHeight="1" x14ac:dyDescent="0.35">
      <c r="D3" s="1"/>
      <c r="R3" s="3"/>
      <c r="S3" s="3"/>
      <c r="T3" s="3"/>
      <c r="U3" s="3"/>
      <c r="V3" s="3"/>
      <c r="W3" s="3"/>
      <c r="X3" s="3"/>
      <c r="Y3" s="3"/>
      <c r="Z3" s="3"/>
      <c r="AA3" s="3"/>
      <c r="AB3" s="3"/>
      <c r="AC3" s="3"/>
      <c r="AD3" s="3"/>
      <c r="AE3" s="10"/>
      <c r="AF3" s="10"/>
    </row>
    <row r="4" spans="1:32" ht="39" customHeight="1" x14ac:dyDescent="0.35">
      <c r="B4" s="323"/>
      <c r="C4" s="323"/>
      <c r="D4" s="323">
        <f>'2023 Annual Report'!D4</f>
        <v>2023</v>
      </c>
      <c r="E4" s="323" t="s">
        <v>81</v>
      </c>
      <c r="F4" s="323"/>
      <c r="G4" s="323"/>
      <c r="H4" s="323"/>
      <c r="I4" s="323"/>
      <c r="J4" s="323"/>
      <c r="K4" s="323"/>
      <c r="L4" s="323"/>
      <c r="M4" s="323"/>
      <c r="N4" s="323"/>
      <c r="Q4" s="10"/>
      <c r="R4" s="3"/>
      <c r="S4" s="3"/>
      <c r="T4" s="3"/>
      <c r="U4" s="3"/>
      <c r="V4" s="3"/>
      <c r="W4" s="3"/>
      <c r="X4" s="3"/>
      <c r="Y4" s="3"/>
      <c r="Z4" s="3"/>
      <c r="AA4" s="3"/>
      <c r="AB4" s="3"/>
      <c r="AC4" s="3"/>
      <c r="AD4" s="3"/>
      <c r="AE4" s="10"/>
      <c r="AF4" s="10"/>
    </row>
    <row r="5" spans="1:32" ht="10.5" customHeight="1" x14ac:dyDescent="0.35">
      <c r="A5" s="472">
        <v>1</v>
      </c>
      <c r="B5" s="472"/>
      <c r="C5" s="472"/>
      <c r="D5" s="472"/>
      <c r="E5" s="472"/>
      <c r="F5" s="472"/>
    </row>
    <row r="6" spans="1:32" ht="7.5" customHeight="1" x14ac:dyDescent="0.35">
      <c r="Q6" s="10"/>
      <c r="R6" s="3"/>
      <c r="S6" s="3"/>
      <c r="T6" s="3"/>
      <c r="U6" s="3"/>
      <c r="V6" s="3"/>
      <c r="W6" s="3"/>
      <c r="X6" s="3"/>
      <c r="Y6" s="3"/>
      <c r="Z6" s="3"/>
      <c r="AA6" s="3"/>
      <c r="AB6" s="3"/>
      <c r="AC6" s="3"/>
      <c r="AD6" s="3"/>
      <c r="AE6" s="10"/>
      <c r="AF6" s="10"/>
    </row>
    <row r="7" spans="1:32" ht="34.5" customHeight="1" x14ac:dyDescent="0.35">
      <c r="B7" s="572" t="s">
        <v>108</v>
      </c>
      <c r="C7" s="572"/>
      <c r="D7" s="572"/>
      <c r="E7" s="572"/>
      <c r="F7" s="572"/>
      <c r="G7" s="572"/>
      <c r="H7" s="572"/>
      <c r="I7" s="572"/>
      <c r="J7" s="572"/>
      <c r="K7" s="572"/>
      <c r="L7" s="572"/>
      <c r="M7" s="572"/>
      <c r="N7" s="572"/>
      <c r="O7" s="121"/>
    </row>
    <row r="8" spans="1:32" ht="38.25" customHeight="1" x14ac:dyDescent="0.35">
      <c r="B8" s="473" t="str">
        <f>'2023 Annual Report'!B8:N8</f>
        <v>~ Remember ~ 
The filing deadline is May 15, 2025</v>
      </c>
      <c r="C8" s="474"/>
      <c r="D8" s="474"/>
      <c r="E8" s="474"/>
      <c r="F8" s="474"/>
      <c r="G8" s="474"/>
      <c r="H8" s="474"/>
      <c r="I8" s="474"/>
      <c r="J8" s="474"/>
      <c r="K8" s="474"/>
      <c r="L8" s="474"/>
      <c r="M8" s="474"/>
      <c r="N8" s="474"/>
    </row>
    <row r="9" spans="1:32" ht="125.25" customHeight="1" x14ac:dyDescent="0.35">
      <c r="B9" s="577" t="s">
        <v>109</v>
      </c>
      <c r="C9" s="577"/>
      <c r="D9" s="577"/>
      <c r="E9" s="577"/>
      <c r="F9" s="577"/>
      <c r="G9" s="577"/>
      <c r="H9" s="577"/>
      <c r="I9" s="577"/>
      <c r="J9" s="577"/>
      <c r="K9" s="577"/>
      <c r="L9" s="577"/>
      <c r="M9" s="577"/>
      <c r="N9" s="577"/>
    </row>
    <row r="10" spans="1:32" ht="22.5" customHeight="1" x14ac:dyDescent="0.35">
      <c r="B10" s="578" t="s">
        <v>86</v>
      </c>
      <c r="C10" s="578"/>
      <c r="D10" s="578"/>
      <c r="E10" s="578"/>
      <c r="F10" s="578"/>
      <c r="G10" s="578"/>
      <c r="H10" s="578"/>
      <c r="I10" s="578"/>
      <c r="J10" s="578"/>
      <c r="K10" s="578"/>
      <c r="L10" s="578"/>
      <c r="M10" s="578"/>
      <c r="N10" s="578"/>
    </row>
    <row r="11" spans="1:32" ht="35.25" customHeight="1" x14ac:dyDescent="0.35">
      <c r="B11" s="479" t="s">
        <v>3</v>
      </c>
      <c r="C11" s="479"/>
      <c r="D11" s="479"/>
      <c r="E11" s="479"/>
      <c r="F11" s="479"/>
      <c r="G11" s="479"/>
      <c r="H11" s="479"/>
      <c r="I11" s="479"/>
      <c r="J11" s="479"/>
      <c r="K11" s="479"/>
      <c r="L11" s="480" t="s">
        <v>63</v>
      </c>
      <c r="M11" s="480"/>
      <c r="N11" s="480"/>
      <c r="O11" s="167" t="str">
        <f>IF(OR(AND(O31&lt;&gt;"",'2023 Annual Report'!$D$411&lt;&gt;""),AND(O34&lt;&gt;"",'2023 Annual Report'!$D$411&lt;&gt;""),AND(O39&lt;&gt;"",'2023 Annual Report'!$D$411&lt;&gt;""),AND(O40&lt;&gt;"",'2023 Annual Report'!$D$411&lt;&gt;""),AND(O41&lt;&gt;"",'2023 Annual Report'!$D$411&lt;&gt;""),AND(O42&lt;&gt;"",'2023 Annual Report'!$D$411&lt;&gt;""),AND(O43&lt;&gt;"",'2023 Annual Report'!$D$411&lt;&gt;""),AND(O44&lt;&gt;"",'2023 Annual Report'!$D$411&lt;&gt;""),AND(O45&lt;&gt;"",'2023 Annual Report'!$D$411&lt;&gt;""),AND(O46&lt;&gt;"",'2023 Annual Report'!$D$411&lt;&gt;""),AND(O47&lt;&gt;"",'2023 Annual Report'!$D$411&lt;&gt;""),AND(O48&lt;&gt;"",'2023 Annual Report'!$D$411&lt;&gt;""),AND(O49&lt;&gt;"",'2023 Annual Report'!$D$411&lt;&gt;""),AND(O50&lt;&gt;"",'2023 Annual Report'!$D$411&lt;&gt;""),AND(O51&lt;&gt;"",'2023 Annual Report'!$D$411&lt;&gt;""),AND(O52&lt;&gt;"",'2023 Annual Report'!$D$411&lt;&gt;""),AND(O53&lt;&gt;"",'2023 Annual Report'!$D$411&lt;&gt;""),AND(O63&lt;&gt;"",'2023 Annual Report'!$D$411&lt;&gt;""),AND(O64&lt;&gt;"",'2023 Annual Report'!$D$411&lt;&gt;""),AND(O65&lt;&gt;"",'2023 Annual Report'!$D$411&lt;&gt;""),AND(O68&lt;&gt;"",'2023 Annual Report'!$D$411&lt;&gt;""),AND(O69&lt;&gt;"",'2023 Annual Report'!$D$411&lt;&gt;""),AND(O70&lt;&gt;"",'2023 Annual Report'!$D$411&lt;&gt;""),AND(O73&lt;&gt;"",'2023 Annual Report'!$D$411&lt;&gt;""),AND(O74&lt;&gt;"",'2023 Annual Report'!$D$411&lt;&gt;""),AND(O75&lt;&gt;"",'2023 Annual Report'!$D$411&lt;&gt;""),AND(O94&lt;&gt;"",'2023 Annual Report'!$D$411&lt;&gt;""),AND(O95&lt;&gt;"",'2023 Annual Report'!$D$411&lt;&gt;""),AND(O96&lt;&gt;"",'2023 Annual Report'!$D$411&lt;&gt;""),AND(O117&lt;&gt;"",'2023 Annual Report'!$D$411&lt;&gt;""),AND(O118&lt;&gt;"",'2023 Annual Report'!$D$411&lt;&gt;"")),1,"")</f>
        <v/>
      </c>
    </row>
    <row r="12" spans="1:32" ht="14.5" customHeight="1" x14ac:dyDescent="0.35">
      <c r="D12" s="6"/>
      <c r="E12" s="6"/>
      <c r="G12" s="6"/>
      <c r="H12" s="6"/>
      <c r="I12" s="6"/>
      <c r="J12" s="6"/>
      <c r="K12" s="6"/>
      <c r="R12" s="156"/>
      <c r="S12" s="156"/>
    </row>
    <row r="13" spans="1:32" ht="15" customHeight="1" x14ac:dyDescent="0.35">
      <c r="C13" s="71"/>
      <c r="D13" s="7"/>
      <c r="E13" s="477" t="s">
        <v>1</v>
      </c>
      <c r="F13" s="478"/>
      <c r="G13" s="478"/>
      <c r="H13" s="478"/>
      <c r="I13" s="478"/>
      <c r="J13" s="478"/>
      <c r="K13" s="478"/>
      <c r="L13" s="478"/>
      <c r="M13" s="478"/>
      <c r="N13" s="71"/>
      <c r="R13" s="156"/>
      <c r="S13" s="156"/>
      <c r="T13" s="156"/>
    </row>
    <row r="14" spans="1:32" x14ac:dyDescent="0.35">
      <c r="R14" s="156"/>
      <c r="S14" s="156"/>
      <c r="T14" s="156"/>
    </row>
    <row r="15" spans="1:32" ht="43.5" customHeight="1" x14ac:dyDescent="0.5">
      <c r="C15" s="579" t="str">
        <f>"The information from row 17 - 29 below is auto-populated from the "&amp;D4&amp;" Annual Report tab."</f>
        <v>The information from row 17 - 29 below is auto-populated from the 2023 Annual Report tab.</v>
      </c>
      <c r="D15" s="579"/>
      <c r="E15" s="579"/>
      <c r="F15" s="579"/>
      <c r="G15" s="579"/>
      <c r="H15" s="579"/>
      <c r="I15" s="579"/>
      <c r="J15" s="579"/>
      <c r="K15" s="579"/>
      <c r="L15" s="579"/>
      <c r="M15" s="579"/>
      <c r="N15" s="579"/>
      <c r="Q15" s="10"/>
      <c r="R15" s="156"/>
      <c r="S15" s="156"/>
      <c r="T15" s="156"/>
      <c r="U15" s="3"/>
      <c r="V15" s="3"/>
      <c r="W15" s="3"/>
      <c r="X15" s="3"/>
      <c r="Y15" s="3"/>
      <c r="Z15" s="3"/>
      <c r="AA15" s="3"/>
      <c r="AB15" s="3"/>
      <c r="AC15" s="3"/>
      <c r="AD15" s="3"/>
      <c r="AE15" s="10"/>
      <c r="AF15" s="10"/>
    </row>
    <row r="16" spans="1:32" ht="12.75" customHeight="1" x14ac:dyDescent="0.35">
      <c r="Q16" s="10"/>
      <c r="R16" s="3" t="s">
        <v>55</v>
      </c>
      <c r="S16" s="3">
        <f>IF(D4&lt;&gt;"",14,14)</f>
        <v>14</v>
      </c>
      <c r="T16" s="156"/>
      <c r="U16" s="3"/>
      <c r="V16" s="3"/>
      <c r="W16" s="3"/>
      <c r="X16" s="3"/>
      <c r="Y16" s="3"/>
      <c r="Z16" s="3"/>
      <c r="AA16" s="3"/>
      <c r="AB16" s="3"/>
      <c r="AC16" s="3"/>
      <c r="AD16" s="3"/>
      <c r="AE16" s="10"/>
      <c r="AF16" s="10"/>
    </row>
    <row r="17" spans="2:20" ht="25.5" customHeight="1" x14ac:dyDescent="0.35">
      <c r="B17" s="2"/>
      <c r="C17" s="12" t="s">
        <v>4</v>
      </c>
      <c r="D17" s="224">
        <f>'2023 Annual Report'!D16</f>
        <v>600000</v>
      </c>
      <c r="E17" s="11" t="s">
        <v>7</v>
      </c>
      <c r="O17" s="166"/>
      <c r="P17" s="167"/>
      <c r="R17" s="3" t="s">
        <v>49</v>
      </c>
      <c r="S17" s="3">
        <f>IF(AND(N80&lt;70%,N80&lt;&gt;0%),69,14)</f>
        <v>14</v>
      </c>
      <c r="T17" s="156"/>
    </row>
    <row r="18" spans="2:20" x14ac:dyDescent="0.35">
      <c r="R18" s="3" t="s">
        <v>50</v>
      </c>
      <c r="S18" s="3">
        <f>IF(AND(N98&lt;70%,N98&lt;&gt;0%),83,14)</f>
        <v>14</v>
      </c>
      <c r="T18" s="156"/>
    </row>
    <row r="19" spans="2:20" ht="25.5" customHeight="1" x14ac:dyDescent="0.35">
      <c r="B19" s="2"/>
      <c r="C19" s="12" t="s">
        <v>22</v>
      </c>
      <c r="D19" s="573" t="str">
        <f>'2023 Annual Report'!D18:M18</f>
        <v>Accordance Community College</v>
      </c>
      <c r="E19" s="574"/>
      <c r="F19" s="574"/>
      <c r="G19" s="574"/>
      <c r="H19" s="574"/>
      <c r="I19" s="574"/>
      <c r="J19" s="574"/>
      <c r="K19" s="574"/>
      <c r="L19" s="574"/>
      <c r="M19" s="575"/>
      <c r="O19" s="166"/>
      <c r="P19" s="167"/>
      <c r="R19" s="3" t="s">
        <v>51</v>
      </c>
      <c r="S19" s="3">
        <f>IF(AND(N120&lt;70%,N120&lt;&gt;0%),83,14)</f>
        <v>14</v>
      </c>
      <c r="T19" s="156"/>
    </row>
    <row r="20" spans="2:20" x14ac:dyDescent="0.35">
      <c r="R20" s="3" t="s">
        <v>52</v>
      </c>
      <c r="S20" s="10"/>
      <c r="T20" s="156"/>
    </row>
    <row r="21" spans="2:20" ht="18.75" customHeight="1" x14ac:dyDescent="0.35">
      <c r="B21" s="2"/>
      <c r="C21" s="13" t="s">
        <v>5</v>
      </c>
      <c r="D21" s="573" t="str">
        <f>'2023 Annual Report'!D20:E20</f>
        <v>Origins</v>
      </c>
      <c r="E21" s="575"/>
      <c r="F21" s="470" t="s">
        <v>6</v>
      </c>
      <c r="G21" s="471"/>
      <c r="H21" s="225" t="str">
        <f>'2023 Annual Report'!H20</f>
        <v>TX</v>
      </c>
      <c r="O21" s="166"/>
      <c r="P21" s="167"/>
      <c r="R21" s="3" t="s">
        <v>53</v>
      </c>
      <c r="S21" s="10"/>
      <c r="T21" s="156"/>
    </row>
    <row r="22" spans="2:20" x14ac:dyDescent="0.35">
      <c r="R22" s="3" t="s">
        <v>54</v>
      </c>
      <c r="S22" s="3"/>
      <c r="T22" s="156"/>
    </row>
    <row r="23" spans="2:20" x14ac:dyDescent="0.35">
      <c r="R23" s="3"/>
      <c r="S23" s="3"/>
      <c r="T23" s="156"/>
    </row>
    <row r="24" spans="2:20" ht="27" customHeight="1" x14ac:dyDescent="0.35">
      <c r="C24" s="12" t="str">
        <f>'2023 Annual Report'!C23</f>
        <v xml:space="preserve">    Accreditation Status: 
as of 1/1/2025</v>
      </c>
      <c r="D24" s="576" t="str">
        <f>'2023 Annual Report'!D23:F23</f>
        <v>Continuing Accreditation</v>
      </c>
      <c r="E24" s="576"/>
      <c r="F24" s="576"/>
      <c r="O24" s="166"/>
      <c r="P24" s="167"/>
      <c r="R24" s="3" t="s">
        <v>56</v>
      </c>
      <c r="S24" s="3"/>
      <c r="T24" s="156"/>
    </row>
    <row r="25" spans="2:20" x14ac:dyDescent="0.35">
      <c r="R25" s="3" t="s">
        <v>57</v>
      </c>
      <c r="S25" s="3"/>
      <c r="T25" s="156"/>
    </row>
    <row r="26" spans="2:20" x14ac:dyDescent="0.35">
      <c r="R26" s="165"/>
    </row>
    <row r="27" spans="2:20" ht="36" customHeight="1" x14ac:dyDescent="0.35">
      <c r="B27" s="2"/>
      <c r="C27" s="486" t="str">
        <f>IF(AND('2023 Annual Report'!G37="No",'2023 Annual Report'!G44="No",'2023 Annual Report'!G46="No"),"",IF(COUNTIF('2023 Annual Report'!I37:N46,"Error*"),"",IF('2023 Annual Report'!G44="Please Select","",'2023 Annual Report'!C44:F44)))</f>
        <v xml:space="preserve">               Did the program operate any satellite 
               location(s) in the 2023 calendar year?</v>
      </c>
      <c r="D27" s="486"/>
      <c r="E27" s="486"/>
      <c r="F27" s="486"/>
      <c r="G27" s="304" t="str">
        <f>IF(AND('2023 Annual Report'!G37="No",'2023 Annual Report'!G44="No",'2023 Annual Report'!G46="No"),"",IF(COUNTIF('2023 Annual Report'!I37:N46,"Error*"),"",IF('2023 Annual Report'!G44="Please Select","",'2023 Annual Report'!G44)))</f>
        <v>Yes</v>
      </c>
      <c r="P27" s="167"/>
    </row>
    <row r="28" spans="2:20" ht="15.75" customHeight="1" x14ac:dyDescent="0.35"/>
    <row r="29" spans="2:20" ht="38.25" customHeight="1" x14ac:dyDescent="0.35">
      <c r="B29" s="2"/>
      <c r="C29" s="581" t="str">
        <f>IF(AND('2023 Annual Report'!G37="No",'2023 Annual Report'!G44="No",'2023 Annual Report'!G46="No"),"",IF(COUNTIF('2023 Annual Report'!I37:N46,"Error*"),"",'2023 Annual Report'!C46:F46))</f>
        <v xml:space="preserve">               Did any students in the satellite location(s)
               graduate in the 2023 calendar year?</v>
      </c>
      <c r="D29" s="581"/>
      <c r="E29" s="581"/>
      <c r="F29" s="581"/>
      <c r="G29" s="242" t="str">
        <f>IF(AND('2023 Annual Report'!G37="No",'2023 Annual Report'!G44="No",'2023 Annual Report'!G46="No"),"",IF(COUNTIF('2023 Annual Report'!I37:N46,"Error*"),"",IF('2023 Annual Report'!G46="Please Select","",('2023 Annual Report'!G46))))</f>
        <v>Yes</v>
      </c>
      <c r="O29" s="170"/>
      <c r="P29" s="167"/>
    </row>
    <row r="30" spans="2:20" ht="26.25" customHeight="1" x14ac:dyDescent="0.35">
      <c r="C30" s="206"/>
    </row>
    <row r="31" spans="2:20" ht="108.75" customHeight="1" x14ac:dyDescent="0.35">
      <c r="B31" s="142"/>
      <c r="C31" s="580" t="str">
        <f>IF(AND(G27="Yes",G29="Yes"),D4&amp;" Annual Report tab:  Outcomes data for the main campus is reported by cohort.
"&amp;D4&amp; " Satellite(s) tab:  Outcomes data for satellites are reported by location NOT by cohort.    
"&amp;"By selecting 'Yes', I attest the satellite outcomes data on this tab is entered by location NOT by cohort.","")</f>
        <v>2023 Annual Report tab:  Outcomes data for the main campus is reported by cohort.
2023 Satellite(s) tab:  Outcomes data for satellites are reported by location NOT by cohort.    
By selecting 'Yes', I attest the satellite outcomes data on this tab is entered by location NOT by cohort.</v>
      </c>
      <c r="D31" s="580"/>
      <c r="E31" s="580"/>
      <c r="F31" s="580"/>
      <c r="G31" s="580"/>
      <c r="H31" s="580"/>
      <c r="I31" s="580"/>
      <c r="J31" s="264" t="s">
        <v>162</v>
      </c>
      <c r="O31" s="170" t="str">
        <f>IF(P31=1, "&lt;===", "")</f>
        <v/>
      </c>
      <c r="P31" s="167" t="str">
        <f>IF(AND($G$27="Yes",G29="Yes",$J$31&lt;&gt;"Yes",'2023 Annual Report'!$D$411&lt;&gt;""), 1, "")</f>
        <v/>
      </c>
    </row>
    <row r="33" spans="3:30" x14ac:dyDescent="0.35">
      <c r="J33" s="397"/>
      <c r="K33" s="397"/>
      <c r="L33" s="397"/>
      <c r="M33" s="397"/>
      <c r="N33" s="397"/>
    </row>
    <row r="34" spans="3:30" ht="23.25" customHeight="1" x14ac:dyDescent="0.35">
      <c r="C34" s="569" t="str">
        <f>IF(AND(G27="Yes",G29&lt;&gt;"Please Select"),"Number of active satellite locations in the "&amp;D4&amp;" calendar year:","")</f>
        <v>Number of active satellite locations in the 2023 calendar year:</v>
      </c>
      <c r="D34" s="569"/>
      <c r="E34" s="569"/>
      <c r="F34" s="569"/>
      <c r="G34" s="569"/>
      <c r="H34" s="570">
        <v>1</v>
      </c>
      <c r="I34" s="570"/>
      <c r="J34" s="11"/>
      <c r="K34" t="str">
        <f>IF(AND(G27="Yes",G29&lt;&gt;"Please Select",H34=""), " &lt;=== Select from drop down list","")</f>
        <v/>
      </c>
      <c r="O34" s="197" t="str">
        <f>IF(P34=1, "&lt;===", "")</f>
        <v/>
      </c>
      <c r="P34" s="167" t="str">
        <f>IF(OR(AND(G27="Yes",H34="",G29&lt;&gt;"Please Select",'2023 Annual Report'!$D$411&lt;&gt;""), AND(G27="Yes",G29&lt;&gt;"Please Select",H34&lt;&gt;"",P63&lt;&gt;"",'2023 Annual Report'!$D$411&lt;&gt;"")),1, "")</f>
        <v/>
      </c>
    </row>
    <row r="36" spans="3:30" ht="21.75" customHeight="1" x14ac:dyDescent="0.35">
      <c r="C36" s="610" t="str">
        <f>IF(AND(G27="Yes",G29&lt;&gt;"Please Select"),"List All Active "&amp;D4&amp;" Satellite Locations","")</f>
        <v>List All Active 2023 Satellite Locations</v>
      </c>
      <c r="D36" s="610"/>
      <c r="E36" s="610"/>
      <c r="F36" s="610"/>
      <c r="G36" s="610"/>
      <c r="H36" s="610"/>
      <c r="I36" s="610"/>
      <c r="J36" s="610"/>
      <c r="K36" s="610"/>
    </row>
    <row r="37" spans="3:30" ht="74.25" customHeight="1" x14ac:dyDescent="0.35">
      <c r="C37" s="609" t="str">
        <f>IF(AND(G27="Yes",G29="Yes",H34&gt;=10),"Programs with outcomes data for more than nine (9) active satellite locations must combine the outcomes data with another satellite location.  "&amp;"Select the same number column as the combined location, and report the combined data in the summary table column.  
Select 'No Graduates' if the satellite location did not have graduates.",IF(AND(G27="Yes",G29="Yes",H34&lt;=9),"List each of the active satellite locations, select a separate column number for each location, 
and provide the location's outcomes data in the matching column in the summary tables below.  "&amp;"
Select 'No Graduates' if the satellite location did not have graduates.",IF(AND(G27="Yes",G29="No"),"The program has indicated there were no graduates at the satellite location(s) in the reporting year. 
Therefore, only the name and state of the satellite location should be listed.  
NO DATA IS REQUIRED FOR THE TABLES BELOW.","")))</f>
        <v>List each of the active satellite locations, select a separate column number for each location, 
and provide the location's outcomes data in the matching column in the summary tables below.  
Select 'No Graduates' if the satellite location did not have graduates.</v>
      </c>
      <c r="D37" s="609"/>
      <c r="E37" s="609"/>
      <c r="F37" s="609"/>
      <c r="G37" s="609"/>
      <c r="H37" s="609"/>
      <c r="I37" s="609"/>
      <c r="J37" s="609"/>
      <c r="K37" s="609"/>
    </row>
    <row r="38" spans="3:30" ht="73.5" customHeight="1" x14ac:dyDescent="0.35">
      <c r="C38" s="613" t="str">
        <f>IF(C36&lt;&gt;"","Name","")</f>
        <v>Name</v>
      </c>
      <c r="D38" s="613"/>
      <c r="E38" s="613"/>
      <c r="F38" s="613" t="str">
        <f>IF(C36&lt;&gt;"","State","")</f>
        <v>State</v>
      </c>
      <c r="G38" s="613"/>
      <c r="H38" s="223" t="str">
        <f>IF(C36&lt;&gt;"", "Satellite located in the same state?","")</f>
        <v>Satellite located in the same state?</v>
      </c>
      <c r="I38" s="223" t="str">
        <f>IF(C36&lt;&gt;"","Total Number of cohorts in "&amp;D4,"")</f>
        <v>Total Number of cohorts in 2023</v>
      </c>
      <c r="J38" s="612" t="str">
        <f>IF(AND($G$29="Yes",C36&lt;&gt;""),"Select which column the outcomes data will be reported in the summary tables below",IF(AND($G$29="No",C36&lt;&gt;""),"No Graduates Indicated.  Outcomes tables below should be left empty",""))</f>
        <v>Select which column the outcomes data will be reported in the summary tables below</v>
      </c>
      <c r="K38" s="612"/>
      <c r="Q38" s="156"/>
      <c r="T38" s="3" t="s">
        <v>93</v>
      </c>
      <c r="U38" s="3" t="s">
        <v>110</v>
      </c>
      <c r="V38" s="3" t="s">
        <v>111</v>
      </c>
      <c r="W38" s="3" t="s">
        <v>112</v>
      </c>
      <c r="X38" s="3" t="s">
        <v>113</v>
      </c>
      <c r="Y38" s="3" t="s">
        <v>114</v>
      </c>
      <c r="Z38" s="3" t="s">
        <v>115</v>
      </c>
      <c r="AA38" s="3" t="s">
        <v>116</v>
      </c>
      <c r="AB38" s="3" t="s">
        <v>117</v>
      </c>
      <c r="AC38" s="3" t="s">
        <v>118</v>
      </c>
      <c r="AD38" s="3"/>
    </row>
    <row r="39" spans="3:30" ht="18" customHeight="1" x14ac:dyDescent="0.35">
      <c r="C39" s="584" t="s">
        <v>165</v>
      </c>
      <c r="D39" s="584"/>
      <c r="E39" s="584"/>
      <c r="F39" s="585" t="s">
        <v>158</v>
      </c>
      <c r="G39" s="585"/>
      <c r="H39" s="176" t="str">
        <f t="shared" ref="H39:H53" si="0">IF(AND($F39&lt;&gt;"",$H$21=$F39),"Yes",IF(AND($F39&lt;&gt;"",$H$21&lt;&gt;$F39),"No",""))</f>
        <v>Yes</v>
      </c>
      <c r="I39" s="279">
        <v>1</v>
      </c>
      <c r="J39" s="570" t="s">
        <v>110</v>
      </c>
      <c r="K39" s="570"/>
      <c r="L39" s="571" t="str">
        <f>IF(AND($G$29="Yes",$H$34&gt;=1,$J39=""), " &lt;=== Select from drop down list","")</f>
        <v/>
      </c>
      <c r="M39" s="571"/>
      <c r="N39" s="571"/>
      <c r="O39" s="169" t="str">
        <f t="shared" ref="O39:O53" si="1">IF(P39=1, "&lt;===", "")</f>
        <v/>
      </c>
      <c r="P39" s="240" t="str">
        <f>IF(OR(AND($G$29="Yes",$H$34&gt;=1,'2023 Annual Report'!$D$411&lt;&gt;"",OR($C39="",$F39="",$I39="",$J39=""))),1,"")</f>
        <v/>
      </c>
    </row>
    <row r="40" spans="3:30" ht="20.149999999999999" customHeight="1" x14ac:dyDescent="0.35">
      <c r="C40" s="584"/>
      <c r="D40" s="584"/>
      <c r="E40" s="584"/>
      <c r="F40" s="585"/>
      <c r="G40" s="585"/>
      <c r="H40" s="176" t="str">
        <f t="shared" si="0"/>
        <v/>
      </c>
      <c r="I40" s="279"/>
      <c r="J40" s="570"/>
      <c r="K40" s="570"/>
      <c r="L40" s="571" t="str">
        <f>IF(AND($G$29="Yes",$H$34&gt;=2,$J40=""), " &lt;=== Select from drop down list","")</f>
        <v/>
      </c>
      <c r="M40" s="571"/>
      <c r="N40" s="571"/>
      <c r="O40" s="169" t="str">
        <f t="shared" si="1"/>
        <v/>
      </c>
      <c r="P40" s="240" t="str">
        <f>IF(OR(AND($G$29="Yes",$H$34&gt;=2,'2023 Annual Report'!$D$411&lt;&gt;"",OR($C40="",$F40="",$I40="",$J40=""))),1,"")</f>
        <v/>
      </c>
    </row>
    <row r="41" spans="3:30" ht="20.149999999999999" customHeight="1" x14ac:dyDescent="0.35">
      <c r="C41" s="584"/>
      <c r="D41" s="584"/>
      <c r="E41" s="584"/>
      <c r="F41" s="585"/>
      <c r="G41" s="585"/>
      <c r="H41" s="176" t="str">
        <f t="shared" si="0"/>
        <v/>
      </c>
      <c r="I41" s="279"/>
      <c r="J41" s="570"/>
      <c r="K41" s="570"/>
      <c r="L41" s="571" t="str">
        <f>IF(AND($G$29="Yes",$H$34&gt;=3,$J41=""), " &lt;=== Select from drop down list","")</f>
        <v/>
      </c>
      <c r="M41" s="571"/>
      <c r="N41" s="571"/>
      <c r="O41" s="169" t="str">
        <f t="shared" si="1"/>
        <v/>
      </c>
      <c r="P41" s="240" t="str">
        <f>IF(OR(AND($G$29="Yes",$H$34&gt;=3,'2023 Annual Report'!$D$411&lt;&gt;"",OR($C41="",$F41="",$I41="",$J41=""))),1,"")</f>
        <v/>
      </c>
    </row>
    <row r="42" spans="3:30" ht="20.149999999999999" customHeight="1" x14ac:dyDescent="0.35">
      <c r="C42" s="584"/>
      <c r="D42" s="584"/>
      <c r="E42" s="584"/>
      <c r="F42" s="585"/>
      <c r="G42" s="585"/>
      <c r="H42" s="176" t="str">
        <f t="shared" si="0"/>
        <v/>
      </c>
      <c r="I42" s="279"/>
      <c r="J42" s="570"/>
      <c r="K42" s="570"/>
      <c r="L42" s="571" t="str">
        <f>IF(AND($G$29="Yes",$H$34&gt;=4,$J42=""), " &lt;=== Select from drop down list","")</f>
        <v/>
      </c>
      <c r="M42" s="571"/>
      <c r="N42" s="571"/>
      <c r="O42" s="169" t="str">
        <f t="shared" si="1"/>
        <v/>
      </c>
      <c r="P42" s="240" t="str">
        <f>IF(OR(AND($G$29="Yes",$H$34&gt;=4,'2023 Annual Report'!$D$411&lt;&gt;"",OR($C42="",$F42="",$I42="",$J42=""))),1,"")</f>
        <v/>
      </c>
    </row>
    <row r="43" spans="3:30" ht="20.149999999999999" customHeight="1" x14ac:dyDescent="0.35">
      <c r="C43" s="584"/>
      <c r="D43" s="584"/>
      <c r="E43" s="584"/>
      <c r="F43" s="585"/>
      <c r="G43" s="585"/>
      <c r="H43" s="176" t="str">
        <f t="shared" si="0"/>
        <v/>
      </c>
      <c r="I43" s="279"/>
      <c r="J43" s="570"/>
      <c r="K43" s="570"/>
      <c r="L43" s="571" t="str">
        <f>IF(AND($G$29="Yes",$H$34&gt;=5,$J43=""), " &lt;=== Select from drop down list","")</f>
        <v/>
      </c>
      <c r="M43" s="571"/>
      <c r="N43" s="571"/>
      <c r="O43" s="169" t="str">
        <f t="shared" si="1"/>
        <v/>
      </c>
      <c r="P43" s="240" t="str">
        <f>IF(OR(AND($G$29="Yes",$H$34&gt;=5,'2023 Annual Report'!$D$411&lt;&gt;"",OR($C43="",$F43="",$I43="",$J43=""))),1,"")</f>
        <v/>
      </c>
    </row>
    <row r="44" spans="3:30" ht="20.149999999999999" customHeight="1" x14ac:dyDescent="0.35">
      <c r="C44" s="584"/>
      <c r="D44" s="584"/>
      <c r="E44" s="584"/>
      <c r="F44" s="585"/>
      <c r="G44" s="585"/>
      <c r="H44" s="176" t="str">
        <f t="shared" si="0"/>
        <v/>
      </c>
      <c r="I44" s="279"/>
      <c r="J44" s="570"/>
      <c r="K44" s="570"/>
      <c r="L44" s="571" t="str">
        <f>IF(AND($G$29="Yes",$H$34&gt;=6,$J44=""), " &lt;=== Select from drop down list","")</f>
        <v/>
      </c>
      <c r="M44" s="571"/>
      <c r="N44" s="571"/>
      <c r="O44" s="169" t="str">
        <f t="shared" si="1"/>
        <v/>
      </c>
      <c r="P44" s="240" t="str">
        <f>IF(OR(AND($G$29="Yes",$H$34&gt;=6,'2023 Annual Report'!$D$411&lt;&gt;"",OR($C44="",$F44="",$I44="",$J44=""))),1,"")</f>
        <v/>
      </c>
    </row>
    <row r="45" spans="3:30" ht="20.149999999999999" customHeight="1" x14ac:dyDescent="0.35">
      <c r="C45" s="584"/>
      <c r="D45" s="584"/>
      <c r="E45" s="584"/>
      <c r="F45" s="585"/>
      <c r="G45" s="585"/>
      <c r="H45" s="176" t="str">
        <f t="shared" si="0"/>
        <v/>
      </c>
      <c r="I45" s="279"/>
      <c r="J45" s="570"/>
      <c r="K45" s="570"/>
      <c r="L45" s="571" t="str">
        <f>IF(AND($G$29="Yes",$H$34&gt;=7,$J45=""), " &lt;=== Select from drop down list","")</f>
        <v/>
      </c>
      <c r="M45" s="571"/>
      <c r="N45" s="571"/>
      <c r="O45" s="169" t="str">
        <f t="shared" si="1"/>
        <v/>
      </c>
      <c r="P45" s="240" t="str">
        <f>IF(OR(AND($G$29="Yes",$H$34&gt;=7,'2023 Annual Report'!$D$411&lt;&gt;"",OR($C45="",$F45="",$I45="",$J45=""))),1,"")</f>
        <v/>
      </c>
    </row>
    <row r="46" spans="3:30" ht="20.149999999999999" customHeight="1" x14ac:dyDescent="0.35">
      <c r="C46" s="584"/>
      <c r="D46" s="584"/>
      <c r="E46" s="584"/>
      <c r="F46" s="585"/>
      <c r="G46" s="585"/>
      <c r="H46" s="176" t="str">
        <f t="shared" si="0"/>
        <v/>
      </c>
      <c r="I46" s="279"/>
      <c r="J46" s="570"/>
      <c r="K46" s="570"/>
      <c r="L46" s="571" t="str">
        <f>IF(AND($G$29="Yes",$H$34&gt;=8,$J46=""), " &lt;=== Select from drop down list","")</f>
        <v/>
      </c>
      <c r="M46" s="571"/>
      <c r="N46" s="571"/>
      <c r="O46" s="169" t="str">
        <f t="shared" si="1"/>
        <v/>
      </c>
      <c r="P46" s="240" t="str">
        <f>IF(OR(AND($G$29="Yes",$H$34&gt;=8,'2023 Annual Report'!$D$411&lt;&gt;"",OR($C46="",$F46="",$I46="",$J46=""))),1,"")</f>
        <v/>
      </c>
    </row>
    <row r="47" spans="3:30" ht="20.149999999999999" customHeight="1" x14ac:dyDescent="0.35">
      <c r="C47" s="584"/>
      <c r="D47" s="584"/>
      <c r="E47" s="584"/>
      <c r="F47" s="585"/>
      <c r="G47" s="585"/>
      <c r="H47" s="176" t="str">
        <f t="shared" si="0"/>
        <v/>
      </c>
      <c r="I47" s="279"/>
      <c r="J47" s="570"/>
      <c r="K47" s="570"/>
      <c r="L47" s="571" t="str">
        <f>IF(AND($G$29="Yes",$H$34&gt;=9,$J47=""), " &lt;=== Select from drop down list","")</f>
        <v/>
      </c>
      <c r="M47" s="571"/>
      <c r="N47" s="571"/>
      <c r="O47" s="169" t="str">
        <f t="shared" si="1"/>
        <v/>
      </c>
      <c r="P47" s="240" t="str">
        <f>IF(OR(AND($G$29="Yes",$H$34&gt;=9,'2023 Annual Report'!$D$411&lt;&gt;"",OR($C47="",$F47="",$I47="",$J47=""))),1,"")</f>
        <v/>
      </c>
    </row>
    <row r="48" spans="3:30" ht="20.149999999999999" customHeight="1" x14ac:dyDescent="0.35">
      <c r="C48" s="584"/>
      <c r="D48" s="584"/>
      <c r="E48" s="584"/>
      <c r="F48" s="585"/>
      <c r="G48" s="585"/>
      <c r="H48" s="176" t="str">
        <f t="shared" si="0"/>
        <v/>
      </c>
      <c r="I48" s="279"/>
      <c r="J48" s="570"/>
      <c r="K48" s="570"/>
      <c r="L48" s="571" t="str">
        <f>IF(AND($G$29="Yes",$H$34&gt;=10,$J48=""), " &lt;=== Select from drop down list","")</f>
        <v/>
      </c>
      <c r="M48" s="571"/>
      <c r="N48" s="571"/>
      <c r="O48" s="169" t="str">
        <f t="shared" si="1"/>
        <v/>
      </c>
      <c r="P48" s="240" t="str">
        <f>IF(OR(AND($G$29="Yes",$H$34&gt;=10,'2023 Annual Report'!$D$411&lt;&gt;"",OR($C48="",$F48="",$I48="",$J48=""))),1,"")</f>
        <v/>
      </c>
    </row>
    <row r="49" spans="1:69" ht="20.149999999999999" customHeight="1" x14ac:dyDescent="0.35">
      <c r="C49" s="584"/>
      <c r="D49" s="584"/>
      <c r="E49" s="584"/>
      <c r="F49" s="585"/>
      <c r="G49" s="585"/>
      <c r="H49" s="176" t="str">
        <f t="shared" si="0"/>
        <v/>
      </c>
      <c r="I49" s="279"/>
      <c r="J49" s="570"/>
      <c r="K49" s="570"/>
      <c r="L49" s="571" t="str">
        <f>IF(AND($G$29="Yes",$H$34&gt;=11,$J49=""), " &lt;=== Select from drop down list","")</f>
        <v/>
      </c>
      <c r="M49" s="571"/>
      <c r="N49" s="571"/>
      <c r="O49" s="169" t="str">
        <f t="shared" si="1"/>
        <v/>
      </c>
      <c r="P49" s="240" t="str">
        <f>IF(OR(AND($G$29="Yes",$H$34&gt;=11,'2023 Annual Report'!$D$411&lt;&gt;"",OR($C49="",$F49="",$I49="",$J49=""))),1,"")</f>
        <v/>
      </c>
    </row>
    <row r="50" spans="1:69" ht="20.149999999999999" customHeight="1" x14ac:dyDescent="0.35">
      <c r="C50" s="584"/>
      <c r="D50" s="584"/>
      <c r="E50" s="584"/>
      <c r="F50" s="585"/>
      <c r="G50" s="585"/>
      <c r="H50" s="176" t="str">
        <f t="shared" si="0"/>
        <v/>
      </c>
      <c r="I50" s="279"/>
      <c r="J50" s="570"/>
      <c r="K50" s="570"/>
      <c r="L50" s="571" t="str">
        <f>IF(AND($G$29="Yes",$H$34&gt;=12,$J50=""), " &lt;=== Select from drop down list","")</f>
        <v/>
      </c>
      <c r="M50" s="571"/>
      <c r="N50" s="571"/>
      <c r="O50" s="169" t="str">
        <f t="shared" si="1"/>
        <v/>
      </c>
      <c r="P50" s="240" t="str">
        <f>IF(OR(AND($G$29="Yes",$H$34&gt;=12,'2023 Annual Report'!$D$411&lt;&gt;"",OR($C50="",$F50="",$I50="",$J50=""))),1,"")</f>
        <v/>
      </c>
    </row>
    <row r="51" spans="1:69" ht="20.149999999999999" customHeight="1" x14ac:dyDescent="0.35">
      <c r="C51" s="584"/>
      <c r="D51" s="584"/>
      <c r="E51" s="584"/>
      <c r="F51" s="585"/>
      <c r="G51" s="585"/>
      <c r="H51" s="176" t="str">
        <f t="shared" si="0"/>
        <v/>
      </c>
      <c r="I51" s="279"/>
      <c r="J51" s="570"/>
      <c r="K51" s="570"/>
      <c r="L51" s="571" t="str">
        <f>IF(AND($G$29="Yes",$H$34&gt;=13,$J51=""), " &lt;=== Select from drop down list","")</f>
        <v/>
      </c>
      <c r="M51" s="571"/>
      <c r="N51" s="571"/>
      <c r="O51" s="169" t="str">
        <f t="shared" si="1"/>
        <v/>
      </c>
      <c r="P51" s="240" t="str">
        <f>IF(OR(AND($G$29="Yes",$H$34&gt;=13,'2023 Annual Report'!$D$411&lt;&gt;"",OR($C51="",$F51="",$I51="",$J51=""))),1,"")</f>
        <v/>
      </c>
    </row>
    <row r="52" spans="1:69" ht="20.149999999999999" customHeight="1" x14ac:dyDescent="0.35">
      <c r="C52" s="584"/>
      <c r="D52" s="584"/>
      <c r="E52" s="584"/>
      <c r="F52" s="585"/>
      <c r="G52" s="585"/>
      <c r="H52" s="176" t="str">
        <f t="shared" si="0"/>
        <v/>
      </c>
      <c r="I52" s="279"/>
      <c r="J52" s="570"/>
      <c r="K52" s="570"/>
      <c r="L52" s="571" t="str">
        <f>IF(AND($G$29="Yes",$H$34&gt;=14,$J52=""), " &lt;=== Select from drop down list","")</f>
        <v/>
      </c>
      <c r="M52" s="571"/>
      <c r="N52" s="571"/>
      <c r="O52" s="169" t="str">
        <f t="shared" si="1"/>
        <v/>
      </c>
      <c r="P52" s="240" t="str">
        <f>IF(OR(AND($G$29="Yes",$H$34&gt;=14,'2023 Annual Report'!$D$411&lt;&gt;"",OR($C52="",$F52="",$I52="",$J52=""))),1,"")</f>
        <v/>
      </c>
    </row>
    <row r="53" spans="1:69" ht="20.149999999999999" customHeight="1" x14ac:dyDescent="0.35">
      <c r="C53" s="584"/>
      <c r="D53" s="584"/>
      <c r="E53" s="584"/>
      <c r="F53" s="585"/>
      <c r="G53" s="585"/>
      <c r="H53" s="176" t="str">
        <f t="shared" si="0"/>
        <v/>
      </c>
      <c r="I53" s="279"/>
      <c r="J53" s="570"/>
      <c r="K53" s="570"/>
      <c r="L53" s="571" t="str">
        <f>IF(AND($G$29="Yes",$H$34&gt;=15,$J53=""), " &lt;=== Select from drop down list","")</f>
        <v/>
      </c>
      <c r="M53" s="571"/>
      <c r="N53" s="571"/>
      <c r="O53" s="169" t="str">
        <f t="shared" si="1"/>
        <v/>
      </c>
      <c r="P53" s="240" t="str">
        <f>IF(OR(AND($G$29="Yes",$H$34&gt;=15,'2023 Annual Report'!$D$411&lt;&gt;"",OR($C53="",$F53="",$I53="",$J53=""))),1,"")</f>
        <v/>
      </c>
    </row>
    <row r="57" spans="1:69" ht="32.25" customHeight="1" x14ac:dyDescent="0.35">
      <c r="B57" s="611" t="str">
        <f>IF(AND(G27="Yes",G29="No"),"                      STOP! Tab Complete.  Return to the main tab (i.e., "&amp;D4&amp;" Annual Report)",IF(OR(AND(G27="No",G29="No"),AND(G27="No",G29=""),G29="Please Select"),"    STOP! Do not place any data in the tables below.  Return to the main tab (i.e., "&amp;D4&amp;" Report Tab)","Satellite(s) Outcomes Summary"))</f>
        <v>Satellite(s) Outcomes Summary</v>
      </c>
      <c r="C57" s="611"/>
      <c r="D57" s="611"/>
      <c r="E57" s="611"/>
      <c r="F57" s="611"/>
      <c r="G57" s="611"/>
      <c r="H57" s="611"/>
      <c r="I57" s="611"/>
      <c r="J57" s="611"/>
      <c r="K57" s="611"/>
      <c r="L57" s="611"/>
      <c r="M57" s="611"/>
      <c r="N57" s="611"/>
    </row>
    <row r="58" spans="1:69" ht="15" customHeight="1" x14ac:dyDescent="0.35">
      <c r="B58" s="14"/>
      <c r="C58" s="15">
        <f>$D$17</f>
        <v>600000</v>
      </c>
      <c r="D58" s="402" t="str">
        <f>$D$19</f>
        <v>Accordance Community College</v>
      </c>
      <c r="E58" s="402"/>
      <c r="F58" s="402"/>
      <c r="G58" s="402"/>
      <c r="H58" s="402"/>
      <c r="I58" s="402"/>
      <c r="J58" s="402"/>
      <c r="K58" s="402"/>
      <c r="P58" s="373" t="str">
        <f>IF(P62&lt;&gt;"",$D$17,"")</f>
        <v/>
      </c>
      <c r="Q58" s="373"/>
      <c r="R58" s="422" t="str">
        <f>IF(P62&lt;&gt;"",$D$19,"")</f>
        <v/>
      </c>
      <c r="S58" s="422"/>
      <c r="T58" s="422"/>
      <c r="U58" s="422"/>
      <c r="V58" s="422"/>
      <c r="W58" s="422"/>
      <c r="X58" s="422"/>
      <c r="Y58" s="422"/>
      <c r="Z58" s="422"/>
      <c r="AA58" s="422"/>
      <c r="AI58" s="373" t="str">
        <f>IF(P62&lt;&gt;"",$D$17,"")</f>
        <v/>
      </c>
      <c r="AJ58" s="373"/>
      <c r="AK58" s="422" t="str">
        <f>IF(P62&lt;&gt;"",$D$19,"")</f>
        <v/>
      </c>
      <c r="AL58" s="422"/>
      <c r="AM58" s="422"/>
      <c r="AN58" s="422"/>
      <c r="AO58" s="422"/>
      <c r="AP58" s="422"/>
      <c r="AQ58" s="422"/>
      <c r="AR58" s="422"/>
      <c r="AS58" s="422"/>
      <c r="AT58" s="422"/>
      <c r="BB58" s="373"/>
      <c r="BC58" s="373"/>
      <c r="BD58" s="464"/>
      <c r="BE58" s="464"/>
      <c r="BF58" s="464"/>
      <c r="BG58" s="464"/>
      <c r="BH58" s="464"/>
      <c r="BI58" s="464"/>
      <c r="BJ58" s="464"/>
      <c r="BK58" s="464"/>
      <c r="BL58" s="582"/>
      <c r="BM58" s="582"/>
      <c r="BN58" s="582"/>
      <c r="BO58" s="582"/>
      <c r="BP58" s="582"/>
    </row>
    <row r="59" spans="1:69" ht="8.25" customHeight="1" x14ac:dyDescent="0.35">
      <c r="E59" s="121"/>
      <c r="J59" s="583"/>
      <c r="K59" s="583"/>
      <c r="L59" s="583"/>
      <c r="M59" s="583"/>
      <c r="N59" s="583"/>
      <c r="R59" s="422" t="str">
        <f>IF(P62&lt;&gt;"","Retention/Attrition","")</f>
        <v/>
      </c>
      <c r="S59" s="422"/>
      <c r="T59" s="422"/>
      <c r="U59" s="422"/>
      <c r="V59" s="422"/>
      <c r="W59" s="422"/>
      <c r="AK59" s="422" t="str">
        <f>IF(P62&lt;&gt;"","Retention/Attrition","")</f>
        <v/>
      </c>
      <c r="AL59" s="422"/>
      <c r="AM59" s="422"/>
      <c r="AN59" s="422"/>
      <c r="AO59" s="422"/>
      <c r="BD59" s="422"/>
      <c r="BE59" s="422"/>
      <c r="BF59" s="422"/>
      <c r="BG59" s="422"/>
      <c r="BH59" s="422"/>
      <c r="BL59" s="582"/>
      <c r="BM59" s="582"/>
      <c r="BN59" s="582"/>
      <c r="BO59" s="582"/>
      <c r="BP59" s="582"/>
    </row>
    <row r="60" spans="1:69" ht="9" customHeight="1" x14ac:dyDescent="0.35"/>
    <row r="61" spans="1:69" s="11" customFormat="1" ht="23.25" customHeight="1" x14ac:dyDescent="0.35">
      <c r="A61" s="158"/>
      <c r="B61" s="29" t="s">
        <v>87</v>
      </c>
      <c r="C61" s="24"/>
      <c r="D61" s="24"/>
      <c r="E61" s="24"/>
      <c r="F61" s="24"/>
      <c r="G61" s="24"/>
      <c r="H61" s="24"/>
      <c r="I61" s="24"/>
      <c r="J61" s="24"/>
      <c r="K61" s="24"/>
      <c r="L61" s="24"/>
      <c r="M61" s="24"/>
      <c r="N61" s="25"/>
      <c r="P61" s="167"/>
    </row>
    <row r="62" spans="1:69" ht="127.5" customHeight="1" x14ac:dyDescent="0.35">
      <c r="B62" s="529" t="str">
        <f>"The Retention outcome threshold set by the CoAEMSP is 70% and based on the Retention/Attrition formula.  All programs must calculate retention based upon the number of students enrolled after completing 10% of the program’s advertised TOTAL clock hours " &amp;"(e.g., 10% of 1,200 total clock hours = 120 hours; students completing more than 120 hours will be considered enrolled " &amp;"and will be counted in the calculation of the Retention outcome).  This includes all CORE Paramedic coursework (not inclusive of prerequisites such as English, anatomy and physiology, EMT, etc.).  " &amp;"Core Paramedic coursework encompasses all phases of the program including didactic, lab, clinical, field experience, and capstone field internship.
Retention" &amp;" will be computed using the total number of students that completed in the most recent reporting year ("&amp;D4&amp;") and is calculated by determining Attrition (the number of students who dropped out divided by the number enrolled after 10% of total clock hours)." &amp;"  Once the Attrition percentage has been determined, then the Retention percentage is 100% minus the Attrition percentage." &amp; "  "</f>
        <v xml:space="preserve">The Retention outcome threshold set by the CoAEMSP is 70% and based on the Retention/Attrition formula.  All programs must calculate retention based upon the number of students enrolled after completing 10% of the program’s advertised TOTAL clock hours (e.g., 10% of 1,200 total clock hours = 120 hours; students completing more than 120 hours will be considered enrolled and will be counted in the calculation of the Retention outcome).  This includes all CORE Paramedic coursework (not inclusive of prerequisites such as English, anatomy and physiology, EMT, etc.).  Core Paramedic coursework encompasses all phases of the program including didactic, lab, clinical, field experience, and capstone field internship.
Retention will be computed using the total number of students that completed in the most recent reporting year (2023) and is calculated by determining Attrition (the number of students who dropped out divided by the number enrolled after 10% of total clock hours).  Once the Attrition percentage has been determined, then the Retention percentage is 100% minus the Attrition percentage.  </v>
      </c>
      <c r="C62" s="530"/>
      <c r="D62" s="530"/>
      <c r="E62" s="530"/>
      <c r="F62" s="530"/>
      <c r="G62" s="530"/>
      <c r="H62" s="530"/>
      <c r="I62" s="530"/>
      <c r="J62" s="530"/>
      <c r="K62" s="530"/>
      <c r="L62" s="530"/>
      <c r="M62" s="530"/>
      <c r="N62" s="531"/>
      <c r="P62" s="272"/>
      <c r="Q62" s="462"/>
      <c r="R62" s="462"/>
      <c r="S62" s="462"/>
      <c r="T62" s="462"/>
      <c r="U62" s="462"/>
      <c r="V62" s="462"/>
      <c r="W62" s="462"/>
      <c r="Y62" s="189"/>
      <c r="Z62" s="421"/>
      <c r="AA62" s="421"/>
      <c r="AB62" s="421"/>
      <c r="AC62" s="421"/>
      <c r="AD62" s="421"/>
      <c r="AE62" s="421"/>
      <c r="AF62" s="421"/>
      <c r="AH62" s="189"/>
      <c r="AI62" s="421"/>
      <c r="AJ62" s="421"/>
      <c r="AK62" s="421"/>
      <c r="AL62" s="421"/>
      <c r="AM62" s="421"/>
      <c r="AN62" s="421"/>
      <c r="AO62" s="421"/>
      <c r="AQ62" s="189"/>
      <c r="AR62" s="421"/>
      <c r="AS62" s="421"/>
      <c r="AT62" s="421"/>
      <c r="AU62" s="421"/>
      <c r="AV62" s="421"/>
      <c r="AW62" s="421"/>
      <c r="AX62" s="421"/>
      <c r="AZ62" s="189"/>
      <c r="BA62" s="421"/>
      <c r="BB62" s="421"/>
      <c r="BC62" s="421"/>
      <c r="BD62" s="421"/>
      <c r="BE62" s="421"/>
      <c r="BF62" s="421"/>
      <c r="BG62" s="421"/>
      <c r="BI62" s="189"/>
      <c r="BJ62" s="421"/>
      <c r="BK62" s="421"/>
      <c r="BL62" s="421"/>
      <c r="BM62" s="421"/>
      <c r="BN62" s="421"/>
      <c r="BO62" s="421"/>
      <c r="BP62" s="421"/>
    </row>
    <row r="63" spans="1:69" ht="44.25" customHeight="1" x14ac:dyDescent="0.35">
      <c r="B63" s="550" t="s">
        <v>98</v>
      </c>
      <c r="C63" s="551"/>
      <c r="D63" s="552"/>
      <c r="E63" s="17" t="str">
        <f>IF(AND($H$34&gt;=1,OR($J$39="Satellite # 1",$J$40="Satellite # 1",$J$41="Satellite # 1",$J$42="Satellite # 1",$J$43="Satellite # 1",$J$44="Satellite # 1",$J$45="Satellite # 1",$J$46="Satellite # 1",$J$47="Satellite # 1",$J$48="Satellite # 1",$J$49="Satellite # 1",$J$50="Satellite # 1",$J$51="Satellite # 1",$J$52="Satellite # 1",$J$53="Satellite # 1")),"Satellite 
# 1:","")</f>
        <v>Satellite 
# 1:</v>
      </c>
      <c r="F63" s="17" t="str">
        <f>IF(AND($H$34&gt;=1,OR($J$39="Satellite # 2",$J$40="Satellite # 2",$J$41="Satellite # 2",$J$42="Satellite # 2",$J$43="Satellite # 2",$J$44="Satellite # 2",$J$45="Satellite # 2",$J$46="Satellite # 2",$J$47="Satellite # 2",$J$48="Satellite # 2",$J$49="Satellite # 2",$J$50="Satellite # 2",$J$51="Satellite # 2",$J$52="Satellite # 2",$J$53="Satellite # 2")),"Satellite 
# 2:","")</f>
        <v/>
      </c>
      <c r="G63" s="17" t="str">
        <f>IF(AND($H$34&gt;=1,OR($J$39="Satellite # 3",$J$40="Satellite # 3",$J$41="Satellite # 3",$J$42="Satellite # 3",$J$43="Satellite # 3",$J$44="Satellite # 3",$J$45="Satellite # 3",$J$46="Satellite # 3",$J$47="Satellite # 3",$J$48="Satellite # 3",$J$49="Satellite # 3",$J$50="Satellite # 3",$J$51="Satellite # 3",$J$52="Satellite # 3",$J$53="Satellite # 3")),"Satellite 
# 3:","")</f>
        <v/>
      </c>
      <c r="H63" s="17" t="str">
        <f>IF(AND($H$34&gt;=1,OR($J$39="Satellite # 4",$J$40="Satellite # 4",$J$41="Satellite # 4",$J$42="Satellite # 4",$J$43="Satellite # 4",$J$44="Satellite # 4",$J$45="Satellite # 4",$J$46="Satellite # 4",$J$47="Satellite # 4",$J$48="Satellite # 4",$J$49="Satellite # 4",$J$50="Satellite # 4",$J$51="Satellite # 4",$J$52="Satellite # 4",$J$53="Satellite # 4")),"Satellite 
# 4:","")</f>
        <v/>
      </c>
      <c r="I63" s="17" t="str">
        <f>IF(AND($H$34&gt;=1,OR($J$39="Satellite # 5",$J$40="Satellite # 5",$J$41="Satellite # 5",$J$42="Satellite # 5",$J$43="Satellite # 5",$J$44="Satellite # 5",$J$45="Satellite # 5",$J$46="Satellite # 5",$J$47="Satellite # 5",$J$48="Satellite # 5",$J$49="Satellite # 5",$J$50="Satellite # 5",$J$51="Satellite # 5",$J$52="Satellite # 5",$J$53="Satellite # 5")),"Satellite 
# 5:","")</f>
        <v/>
      </c>
      <c r="J63" s="17" t="str">
        <f>IF(AND($H$34&gt;=1,OR($J$39="Satellite # 6",$J$40="Satellite # 6",$J$41="Satellite # 6",$J$42="Satellite # 6",$J$43="Satellite # 6",$J$44="Satellite # 6",$J$45="Satellite # 6",$J$46="Satellite # 6",$J$47="Satellite # 6",$J$48="Satellite # 6",$J$49="Satellite # 6",$J$50="Satellite # 6",$J$51="Satellite # 6",$J$52="Satellite # 6",$J$53="Satellite # 6")),"Satellite 
# 6:","")</f>
        <v/>
      </c>
      <c r="K63" s="17" t="str">
        <f>IF(AND($H$34&gt;=1,OR($J$39="Satellite # 7",$J$40="Satellite # 7",$J$41="Satellite # 7",$J$42="Satellite # 7",$J$43="Satellite # 7",$J$44="Satellite # 7",$J$45="Satellite # 7",$J$46="Satellite # 7",$J$47="Satellite # 7",$J$48="Satellite # 7",$J$49="Satellite # 7",$J$50="Satellite # 7",$J$51="Satellite # 7",$J$52="Satellite # 7",$J$53="Satellite # 7")),"Satellite 
# 7:","")</f>
        <v/>
      </c>
      <c r="L63" s="17" t="str">
        <f>IF(AND($H$34&gt;=1,OR($J$39="Satellite # 8",$J$40="Satellite # 8",$J$41="Satellite # 8",$J$42="Satellite # 8",$J$43="Satellite # 8",$J$44="Satellite # 8",$J$45="Satellite # 8",$J$46="Satellite # 8",$J$47="Satellite # 8",$J$48="Satellite # 8",$J$49="Satellite # 8",$J$50="Satellite # 8",$J$51="Satellite # 8",$J$52="Satellite # 8",$J$53="Satellite # 8")),"Satellite 
# 8:","")</f>
        <v/>
      </c>
      <c r="M63" s="17" t="str">
        <f>IF(AND($H$34&gt;=1,OR($J$39="Satellite # 9",$J$40="Satellite # 9",$J$41="Satellite # 9",$J$42="Satellite # 9",$J$43="Satellite # 9",$J$44="Satellite # 9",$J$45="Satellite # 9",$J$46="Satellite # 9",$J$47="Satellite # 9",$J$48="Satellite # 9",$J$49="Satellite # 9",$J$50="Satellite # 9",$J$51="Satellite # 9",$J$52="Satellite # 9",$J$53="Satellite # 9")),"Satellite 
# 9:","")</f>
        <v/>
      </c>
      <c r="N63" s="17" t="s">
        <v>12</v>
      </c>
      <c r="O63" s="170" t="str">
        <f>IF(P63=1, "&lt;===", "")</f>
        <v/>
      </c>
      <c r="P63" s="174" t="str">
        <f>IF(OR(AND(E63="",E78&lt;&gt;""),AND(F63="",F78&lt;&gt;""),AND(G63="",G78&lt;&gt;""),AND(H63="",H78&lt;&gt;""),AND(I63="",I78&lt;&gt;""),AND(J63="",J78&lt;&gt;""),AND(K63="",K78&lt;&gt;""),AND(L63="",L78&lt;&gt;""),AND(M63="",M78&lt;&gt;"")),1,"")</f>
        <v/>
      </c>
      <c r="Q63" s="586"/>
      <c r="R63" s="586"/>
      <c r="S63" s="586"/>
      <c r="T63" s="586"/>
      <c r="U63" s="11"/>
      <c r="V63" s="11"/>
      <c r="W63" s="167"/>
      <c r="X63" s="193"/>
      <c r="Z63" s="586"/>
      <c r="AA63" s="586"/>
      <c r="AF63" s="167"/>
      <c r="AG63" s="197"/>
      <c r="AI63" s="586"/>
      <c r="AJ63" s="586"/>
      <c r="AO63" s="167"/>
      <c r="AP63" s="197"/>
      <c r="AR63" s="586"/>
      <c r="AS63" s="586"/>
      <c r="AX63" s="3"/>
      <c r="AY63" s="197" t="str">
        <f>IF(AX63=1,"&lt;===", "")</f>
        <v/>
      </c>
      <c r="BA63" s="586"/>
      <c r="BB63" s="586"/>
      <c r="BG63" s="167"/>
      <c r="BH63" s="197"/>
      <c r="BJ63" s="587"/>
      <c r="BK63" s="587"/>
      <c r="BL63" s="587"/>
      <c r="BM63" s="587"/>
      <c r="BN63" s="587"/>
      <c r="BO63" s="587"/>
      <c r="BP63" s="587"/>
      <c r="BQ63" s="197" t="e">
        <f>IF(BQ64=1,"&lt;===", "")</f>
        <v>#REF!</v>
      </c>
    </row>
    <row r="64" spans="1:69" ht="18" customHeight="1" x14ac:dyDescent="0.35">
      <c r="B64" s="44" t="s">
        <v>14</v>
      </c>
      <c r="C64" s="43"/>
      <c r="D64" s="160" t="s">
        <v>59</v>
      </c>
      <c r="E64" s="268"/>
      <c r="F64" s="268"/>
      <c r="G64" s="268"/>
      <c r="H64" s="268"/>
      <c r="I64" s="268"/>
      <c r="J64" s="268"/>
      <c r="K64" s="268"/>
      <c r="L64" s="268"/>
      <c r="M64" s="268"/>
      <c r="N64" s="46"/>
      <c r="O64" s="170" t="str">
        <f>IF(P64=1, "&lt;===", "")</f>
        <v/>
      </c>
      <c r="P64" s="167" t="str">
        <f>IF(OR(AND(E64="",E78&lt;&gt;""),AND(F64="",F78&lt;&gt;""),AND(G64="",G78&lt;&gt;""),AND(H64="",H78&lt;&gt;""),AND(I64="",I78&lt;&gt;""),AND(J64="",J78&lt;&gt;""),AND(K64="",K78&lt;&gt;""),AND(L64="",L78&lt;&gt;""),AND(M64="",M78&lt;&gt;"")),1,"")</f>
        <v/>
      </c>
      <c r="BJ64" s="587"/>
      <c r="BK64" s="587"/>
      <c r="BL64" s="587"/>
      <c r="BM64" s="587"/>
      <c r="BN64" s="587"/>
      <c r="BO64" s="587"/>
      <c r="BP64" s="587"/>
      <c r="BQ64" s="3" t="e">
        <f>IF(AND(P62&lt;&gt;"",AI63&lt;&gt;"Please Select",BJ63="",#REF!&lt;&gt;""),1, "")</f>
        <v>#REF!</v>
      </c>
    </row>
    <row r="65" spans="2:69" ht="18" customHeight="1" x14ac:dyDescent="0.35">
      <c r="B65" s="369" t="s">
        <v>11</v>
      </c>
      <c r="C65" s="370"/>
      <c r="D65" s="161" t="s">
        <v>59</v>
      </c>
      <c r="E65" s="269"/>
      <c r="F65" s="269"/>
      <c r="G65" s="269"/>
      <c r="H65" s="269"/>
      <c r="I65" s="269"/>
      <c r="J65" s="269"/>
      <c r="K65" s="269"/>
      <c r="L65" s="269"/>
      <c r="M65" s="269"/>
      <c r="N65" s="48"/>
      <c r="O65" s="170" t="str">
        <f>IF(P65=1, "&lt;===", "")</f>
        <v/>
      </c>
      <c r="P65" s="167" t="str">
        <f>IF(OR(AND(E65="",E78&lt;&gt;""),AND(F65="",F78&lt;&gt;""),AND(G65="",G78&lt;&gt;""),AND(H65="",H78&lt;&gt;""),AND(I65="",I78&lt;&gt;""),AND(J65="",J78&lt;&gt;""),AND(K65="",K78&lt;&gt;""),AND(L65="",L78&lt;&gt;""),AND(M65="",M78&lt;&gt;"")),1,"")</f>
        <v/>
      </c>
      <c r="AK65" s="4"/>
      <c r="AR65" s="5"/>
      <c r="AS65" s="5"/>
      <c r="AT65" s="5"/>
      <c r="AU65" s="5"/>
      <c r="AV65" s="5"/>
      <c r="AW65" s="5"/>
      <c r="AX65" s="5"/>
      <c r="BJ65" s="587"/>
      <c r="BK65" s="587"/>
      <c r="BL65" s="587"/>
      <c r="BM65" s="587"/>
      <c r="BN65" s="587"/>
      <c r="BO65" s="587"/>
      <c r="BP65" s="587"/>
    </row>
    <row r="66" spans="2:69" ht="18" customHeight="1" x14ac:dyDescent="0.35">
      <c r="B66" s="178" t="s">
        <v>21</v>
      </c>
      <c r="C66" s="90"/>
      <c r="D66" s="90"/>
      <c r="E66" s="270"/>
      <c r="F66" s="271"/>
      <c r="G66" s="271"/>
      <c r="H66" s="271"/>
      <c r="I66" s="271"/>
      <c r="J66" s="271"/>
      <c r="K66" s="271"/>
      <c r="L66" s="271"/>
      <c r="M66" s="271"/>
      <c r="N66" s="89" t="str">
        <f>IF(SUM(E66:M66)=0,"",SUM(E66:M66))</f>
        <v/>
      </c>
      <c r="P66" s="174"/>
      <c r="Q66" s="421"/>
      <c r="R66" s="421"/>
      <c r="S66" s="421"/>
      <c r="T66" s="421"/>
      <c r="U66" s="421"/>
      <c r="V66" s="421"/>
      <c r="W66" s="421"/>
      <c r="Y66" s="61"/>
      <c r="Z66" s="397"/>
      <c r="AA66" s="397"/>
      <c r="AB66" s="397"/>
      <c r="AC66" s="397"/>
      <c r="AD66" s="397"/>
      <c r="AE66" s="397"/>
      <c r="AF66" s="397"/>
      <c r="AH66" s="189"/>
      <c r="AI66" s="397"/>
      <c r="AJ66" s="397"/>
      <c r="AK66" s="397"/>
      <c r="AL66" s="397"/>
      <c r="AM66" s="397"/>
      <c r="AN66" s="397"/>
      <c r="AO66" s="397"/>
      <c r="AQ66" s="189"/>
      <c r="AR66" s="397"/>
      <c r="AS66" s="397"/>
      <c r="AT66" s="397"/>
      <c r="AU66" s="397"/>
      <c r="AV66" s="397"/>
      <c r="AW66" s="397"/>
      <c r="AX66" s="397"/>
      <c r="AZ66" s="189"/>
      <c r="BA66" s="463"/>
      <c r="BB66" s="463"/>
      <c r="BC66" s="463"/>
      <c r="BD66" s="463"/>
      <c r="BE66" s="463"/>
      <c r="BF66" s="463"/>
      <c r="BG66" s="463"/>
      <c r="BJ66" s="587"/>
      <c r="BK66" s="587"/>
      <c r="BL66" s="587"/>
      <c r="BM66" s="587"/>
      <c r="BN66" s="587"/>
      <c r="BO66" s="587"/>
      <c r="BP66" s="587"/>
    </row>
    <row r="67" spans="2:69" ht="44.25" customHeight="1" x14ac:dyDescent="0.35">
      <c r="B67" s="403" t="s">
        <v>96</v>
      </c>
      <c r="C67" s="564"/>
      <c r="D67" s="564"/>
      <c r="E67" s="564"/>
      <c r="F67" s="564"/>
      <c r="G67" s="564"/>
      <c r="H67" s="564"/>
      <c r="I67" s="564"/>
      <c r="J67" s="564"/>
      <c r="K67" s="564"/>
      <c r="L67" s="564"/>
      <c r="M67" s="564"/>
      <c r="N67" s="41"/>
      <c r="P67" s="172"/>
      <c r="Q67" s="586"/>
      <c r="R67" s="586"/>
      <c r="S67" s="190"/>
      <c r="T67" s="190"/>
      <c r="U67" s="190"/>
      <c r="V67" s="190"/>
      <c r="W67" s="200"/>
      <c r="X67" s="197"/>
      <c r="Z67" s="397"/>
      <c r="AA67" s="397"/>
      <c r="AB67" s="397"/>
      <c r="AC67" s="397"/>
      <c r="AD67" s="397"/>
      <c r="AE67" s="397"/>
      <c r="AF67" s="397"/>
      <c r="AI67" s="397"/>
      <c r="AJ67" s="397"/>
      <c r="AK67" s="397"/>
      <c r="AL67" s="397"/>
      <c r="AM67" s="397"/>
      <c r="AN67" s="397"/>
      <c r="AO67" s="397"/>
      <c r="AR67" s="397"/>
      <c r="AS67" s="397"/>
      <c r="AT67" s="397"/>
      <c r="AU67" s="397"/>
      <c r="AV67" s="397"/>
      <c r="AW67" s="397"/>
      <c r="AX67" s="397"/>
      <c r="BA67" s="586"/>
      <c r="BB67" s="586"/>
      <c r="BG67" s="167"/>
      <c r="BH67" s="197"/>
      <c r="BJ67" s="587"/>
      <c r="BK67" s="587"/>
      <c r="BL67" s="587"/>
      <c r="BM67" s="587"/>
      <c r="BN67" s="587"/>
      <c r="BO67" s="587"/>
      <c r="BP67" s="587"/>
    </row>
    <row r="68" spans="2:69" ht="18" customHeight="1" x14ac:dyDescent="0.35">
      <c r="B68" s="45"/>
      <c r="C68" s="122" t="s">
        <v>24</v>
      </c>
      <c r="D68" s="43"/>
      <c r="E68" s="125"/>
      <c r="F68" s="126"/>
      <c r="G68" s="126"/>
      <c r="H68" s="126"/>
      <c r="I68" s="126"/>
      <c r="J68" s="126"/>
      <c r="K68" s="126"/>
      <c r="L68" s="126"/>
      <c r="M68" s="126"/>
      <c r="N68" s="136" t="str">
        <f>IF(COUNT(E68:M68),SUM(E68:M68),"")</f>
        <v/>
      </c>
      <c r="O68" s="170" t="str">
        <f>IF(P68=1, "&lt;===", "")</f>
        <v/>
      </c>
      <c r="P68" s="172" t="str">
        <f>IF(OR(AND($E$66&lt;&gt;"",$E68="",'2023 Annual Report'!$D$411&lt;&gt;""),AND('2023 Satellite(s)'!$F$66&lt;&gt;"",'2023 Satellite(s)'!$F68="",'2023 Annual Report'!$D$411&lt;&gt;""),AND('2023 Satellite(s)'!$G$66&lt;&gt;"",'2023 Satellite(s)'!$G68="",'2023 Annual Report'!$D$411&lt;&gt;""),AND('2023 Satellite(s)'!$H$66&lt;&gt;"",'2023 Satellite(s)'!$H68="",'2023 Annual Report'!$D$411&lt;&gt;""),AND('2023 Satellite(s)'!$I$66&lt;&gt;"",'2023 Satellite(s)'!$I68="",'2023 Annual Report'!$D$411&lt;&gt;""),AND('2023 Satellite(s)'!$J$66&lt;&gt;"",'2023 Satellite(s)'!$J68="",'2023 Annual Report'!$D$411&lt;&gt;""),AND('2023 Satellite(s)'!$K$66&lt;&gt;"",'2023 Satellite(s)'!$K68="",'2023 Annual Report'!$D$411&lt;&gt;""),AND('2023 Satellite(s)'!$L$66&lt;&gt;"",'2023 Satellite(s)'!$L68="",'2023 Annual Report'!$D$411&lt;&gt;""),AND('2023 Satellite(s)'!$M$66&lt;&gt;"",'2023 Satellite(s)'!$M68="",'2023 Annual Report'!$D$411&lt;&gt;"")),1,"")</f>
        <v/>
      </c>
      <c r="Q68" s="190"/>
      <c r="R68" s="190"/>
      <c r="S68" s="190"/>
      <c r="T68" s="190"/>
      <c r="U68" s="190"/>
      <c r="V68" s="190"/>
      <c r="W68" s="190"/>
      <c r="Z68" s="397"/>
      <c r="AA68" s="397"/>
      <c r="AB68" s="397"/>
      <c r="AC68" s="397"/>
      <c r="AD68" s="397"/>
      <c r="AE68" s="397"/>
      <c r="AF68" s="397"/>
      <c r="AI68" s="586"/>
      <c r="AJ68" s="586"/>
      <c r="AK68" s="190"/>
      <c r="AL68" s="190"/>
      <c r="AM68" s="190"/>
      <c r="AN68" s="190"/>
      <c r="AO68" s="199"/>
      <c r="AP68" s="197"/>
      <c r="AR68" s="586"/>
      <c r="AS68" s="586"/>
      <c r="AT68" s="5"/>
      <c r="AU68" s="5"/>
      <c r="AV68" s="5"/>
      <c r="AW68" s="5"/>
      <c r="AX68" s="198"/>
      <c r="AY68" s="197" t="str">
        <f>IF(AX68=1,"&lt;===", "")</f>
        <v/>
      </c>
      <c r="BJ68" s="587"/>
      <c r="BK68" s="587"/>
      <c r="BL68" s="587"/>
      <c r="BM68" s="587"/>
      <c r="BN68" s="587"/>
      <c r="BO68" s="587"/>
      <c r="BP68" s="587"/>
    </row>
    <row r="69" spans="2:69" ht="18" customHeight="1" x14ac:dyDescent="0.35">
      <c r="B69" s="31"/>
      <c r="C69" s="123" t="s">
        <v>25</v>
      </c>
      <c r="D69" s="41"/>
      <c r="E69" s="127"/>
      <c r="F69" s="127"/>
      <c r="G69" s="127"/>
      <c r="H69" s="127"/>
      <c r="I69" s="127"/>
      <c r="J69" s="127"/>
      <c r="K69" s="127"/>
      <c r="L69" s="127"/>
      <c r="M69" s="127"/>
      <c r="N69" s="53" t="str">
        <f>IF(COUNT(E69:M69),SUM(E69:M69),"")</f>
        <v/>
      </c>
      <c r="O69" s="170" t="str">
        <f>IF(P69=1, "&lt;===", "")</f>
        <v/>
      </c>
      <c r="P69" s="172" t="str">
        <f>IF(OR(AND($E$66&lt;&gt;"",$E69="",'2023 Annual Report'!$D$411&lt;&gt;""),AND('2023 Satellite(s)'!$F$66&lt;&gt;"",'2023 Satellite(s)'!$F69="",'2023 Annual Report'!$D$411&lt;&gt;""),AND('2023 Satellite(s)'!$G$66&lt;&gt;"",'2023 Satellite(s)'!$G69="",'2023 Annual Report'!$D$411&lt;&gt;""),AND('2023 Satellite(s)'!$H$66&lt;&gt;"",'2023 Satellite(s)'!$H69="",'2023 Annual Report'!$D$411&lt;&gt;""),AND('2023 Satellite(s)'!$I$66&lt;&gt;"",'2023 Satellite(s)'!$I69="",'2023 Annual Report'!$D$411&lt;&gt;""),AND('2023 Satellite(s)'!$J$66&lt;&gt;"",'2023 Satellite(s)'!$J69="",'2023 Annual Report'!$D$411&lt;&gt;""),AND('2023 Satellite(s)'!$K$66&lt;&gt;"",'2023 Satellite(s)'!$K69="",'2023 Annual Report'!$D$411&lt;&gt;""),AND('2023 Satellite(s)'!$L$66&lt;&gt;"",'2023 Satellite(s)'!$L69="",'2023 Annual Report'!$D$411&lt;&gt;""),AND('2023 Satellite(s)'!$M$66&lt;&gt;"",'2023 Satellite(s)'!$M69="",'2023 Annual Report'!$D$411&lt;&gt;"")),1,"")</f>
        <v/>
      </c>
      <c r="Q69" s="3"/>
      <c r="Z69" s="586"/>
      <c r="AA69" s="586"/>
      <c r="AF69" s="167"/>
      <c r="AG69" s="197"/>
      <c r="AK69" s="4"/>
      <c r="AR69" s="5"/>
      <c r="AS69" s="5"/>
      <c r="AT69" s="5"/>
      <c r="AU69" s="5"/>
      <c r="AV69" s="5"/>
      <c r="AW69" s="5"/>
      <c r="AX69" s="5"/>
      <c r="BA69" s="462"/>
      <c r="BB69" s="462"/>
      <c r="BC69" s="462"/>
      <c r="BD69" s="462"/>
      <c r="BE69" s="462"/>
      <c r="BF69" s="462"/>
      <c r="BG69" s="462"/>
      <c r="BJ69" s="587"/>
      <c r="BK69" s="587"/>
      <c r="BL69" s="587"/>
      <c r="BM69" s="587"/>
      <c r="BN69" s="587"/>
      <c r="BO69" s="587"/>
      <c r="BP69" s="587"/>
    </row>
    <row r="70" spans="2:69" ht="18" customHeight="1" x14ac:dyDescent="0.35">
      <c r="B70" s="45"/>
      <c r="C70" s="122" t="s">
        <v>26</v>
      </c>
      <c r="D70" s="42"/>
      <c r="E70" s="128"/>
      <c r="F70" s="128"/>
      <c r="G70" s="128"/>
      <c r="H70" s="128"/>
      <c r="I70" s="128"/>
      <c r="J70" s="128"/>
      <c r="K70" s="128"/>
      <c r="L70" s="128"/>
      <c r="M70" s="128"/>
      <c r="N70" s="52" t="str">
        <f>IF(COUNT(E70:M70),SUM(E70:M70),"")</f>
        <v/>
      </c>
      <c r="O70" s="170" t="str">
        <f>IF(P70=1, "&lt;===", "")</f>
        <v/>
      </c>
      <c r="P70" s="172" t="str">
        <f>IF(OR(AND($E$66&lt;&gt;"",$E70="",'2023 Annual Report'!$D$411&lt;&gt;""),AND('2023 Satellite(s)'!$F$66&lt;&gt;"",'2023 Satellite(s)'!$F70="",'2023 Annual Report'!$D$411&lt;&gt;""),AND('2023 Satellite(s)'!$G$66&lt;&gt;"",'2023 Satellite(s)'!$G70="",'2023 Annual Report'!$D$411&lt;&gt;""),AND('2023 Satellite(s)'!$H$66&lt;&gt;"",'2023 Satellite(s)'!$H70="",'2023 Annual Report'!$D$411&lt;&gt;""),AND('2023 Satellite(s)'!$I$66&lt;&gt;"",'2023 Satellite(s)'!$I70="",'2023 Annual Report'!$D$411&lt;&gt;""),AND('2023 Satellite(s)'!$J$66&lt;&gt;"",'2023 Satellite(s)'!$J70="",'2023 Annual Report'!$D$411&lt;&gt;""),AND('2023 Satellite(s)'!$K$66&lt;&gt;"",'2023 Satellite(s)'!$K70="",'2023 Annual Report'!$D$411&lt;&gt;""),AND('2023 Satellite(s)'!$L$66&lt;&gt;"",'2023 Satellite(s)'!$L70="",'2023 Annual Report'!$D$411&lt;&gt;""),AND('2023 Satellite(s)'!$M$66&lt;&gt;"",'2023 Satellite(s)'!$M70="",'2023 Annual Report'!$D$411&lt;&gt;"")),1,"")</f>
        <v/>
      </c>
      <c r="Q70" s="412"/>
      <c r="R70" s="412"/>
      <c r="S70" s="412"/>
      <c r="T70" s="412"/>
      <c r="U70" s="412"/>
      <c r="V70" s="412"/>
      <c r="W70" s="412"/>
      <c r="AR70" s="63"/>
      <c r="AS70" s="63"/>
      <c r="AT70" s="63"/>
      <c r="AU70" s="63"/>
      <c r="AV70" s="63"/>
      <c r="AW70" s="63"/>
      <c r="AX70" s="63"/>
      <c r="BA70" s="462"/>
      <c r="BB70" s="462"/>
      <c r="BC70" s="462"/>
      <c r="BD70" s="462"/>
      <c r="BE70" s="462"/>
      <c r="BF70" s="462"/>
      <c r="BG70" s="462"/>
      <c r="BJ70" s="587"/>
      <c r="BK70" s="587"/>
      <c r="BL70" s="587"/>
      <c r="BM70" s="587"/>
      <c r="BN70" s="587"/>
      <c r="BO70" s="587"/>
      <c r="BP70" s="587"/>
    </row>
    <row r="71" spans="2:69" ht="25.5" customHeight="1" x14ac:dyDescent="0.35">
      <c r="B71" s="124" t="s">
        <v>39</v>
      </c>
      <c r="C71" s="19"/>
      <c r="D71" s="19"/>
      <c r="E71" s="153" t="str">
        <f>IF(OR(E68="",E69="",E70=""),"",SUM(E68:E70))</f>
        <v/>
      </c>
      <c r="F71" s="153" t="str">
        <f t="shared" ref="F71:M71" si="2">IF(OR(F68="",F69="",F70=""),"",SUM(F68:F70))</f>
        <v/>
      </c>
      <c r="G71" s="153" t="str">
        <f t="shared" si="2"/>
        <v/>
      </c>
      <c r="H71" s="153" t="str">
        <f t="shared" si="2"/>
        <v/>
      </c>
      <c r="I71" s="153" t="str">
        <f t="shared" si="2"/>
        <v/>
      </c>
      <c r="J71" s="153" t="str">
        <f t="shared" si="2"/>
        <v/>
      </c>
      <c r="K71" s="153" t="str">
        <f t="shared" si="2"/>
        <v/>
      </c>
      <c r="L71" s="153" t="str">
        <f t="shared" si="2"/>
        <v/>
      </c>
      <c r="M71" s="153" t="str">
        <f t="shared" si="2"/>
        <v/>
      </c>
      <c r="N71" s="151" t="str">
        <f>IF(COUNT(N68:N70),SUM(N68:N70),"")</f>
        <v/>
      </c>
      <c r="P71" s="172"/>
      <c r="Q71" s="586"/>
      <c r="R71" s="586"/>
      <c r="S71" s="60"/>
      <c r="T71" s="60"/>
      <c r="U71" s="60"/>
      <c r="V71" s="60"/>
      <c r="W71" s="174"/>
      <c r="X71" s="197"/>
      <c r="AR71" s="63"/>
      <c r="AS71" s="63"/>
      <c r="AT71" s="63"/>
      <c r="AU71" s="63"/>
      <c r="AV71" s="63"/>
      <c r="AW71" s="63"/>
      <c r="AX71" s="63"/>
      <c r="BA71" s="586"/>
      <c r="BB71" s="586"/>
      <c r="BG71" s="167"/>
      <c r="BH71" s="197"/>
      <c r="BJ71" s="587"/>
      <c r="BK71" s="587"/>
      <c r="BL71" s="587"/>
      <c r="BM71" s="587"/>
      <c r="BN71" s="587"/>
      <c r="BO71" s="587"/>
      <c r="BP71" s="587"/>
    </row>
    <row r="72" spans="2:69" ht="44.25" customHeight="1" x14ac:dyDescent="0.35">
      <c r="B72" s="403" t="s">
        <v>97</v>
      </c>
      <c r="C72" s="564"/>
      <c r="D72" s="564"/>
      <c r="E72" s="564"/>
      <c r="F72" s="564"/>
      <c r="G72" s="564"/>
      <c r="H72" s="564"/>
      <c r="I72" s="564"/>
      <c r="J72" s="564"/>
      <c r="K72" s="564"/>
      <c r="L72" s="564"/>
      <c r="M72" s="564"/>
      <c r="N72" s="137"/>
      <c r="P72" s="172"/>
      <c r="Q72" s="60"/>
      <c r="R72" s="60"/>
      <c r="S72" s="60"/>
      <c r="T72" s="60"/>
      <c r="U72" s="60"/>
      <c r="V72" s="60"/>
      <c r="W72" s="60"/>
      <c r="Y72" s="61"/>
      <c r="Z72" s="397"/>
      <c r="AA72" s="397"/>
      <c r="AB72" s="397"/>
      <c r="AC72" s="397"/>
      <c r="AD72" s="397"/>
      <c r="AE72" s="397"/>
      <c r="AF72" s="397"/>
      <c r="AH72" s="189"/>
      <c r="AI72" s="397"/>
      <c r="AJ72" s="397"/>
      <c r="AK72" s="397"/>
      <c r="AL72" s="397"/>
      <c r="AM72" s="397"/>
      <c r="AN72" s="397"/>
      <c r="AO72" s="397"/>
      <c r="AR72" s="397"/>
      <c r="AS72" s="397"/>
      <c r="AT72" s="397"/>
      <c r="AU72" s="397"/>
      <c r="AV72" s="397"/>
      <c r="AW72" s="397"/>
      <c r="AX72" s="397"/>
    </row>
    <row r="73" spans="2:69" ht="18" customHeight="1" x14ac:dyDescent="0.35">
      <c r="B73" s="45"/>
      <c r="C73" s="122" t="s">
        <v>27</v>
      </c>
      <c r="D73" s="42"/>
      <c r="E73" s="125"/>
      <c r="F73" s="125"/>
      <c r="G73" s="125"/>
      <c r="H73" s="125"/>
      <c r="I73" s="125"/>
      <c r="J73" s="125"/>
      <c r="K73" s="125"/>
      <c r="L73" s="125"/>
      <c r="M73" s="125"/>
      <c r="N73" s="138" t="str">
        <f>IF(COUNT(E73:M73),SUM(E73:M73),"")</f>
        <v/>
      </c>
      <c r="O73" s="170" t="str">
        <f>IF(P73=1, "&lt;===", "")</f>
        <v/>
      </c>
      <c r="P73" s="172" t="str">
        <f>IF(OR(AND($E$66&lt;&gt;"",$E73="",'2023 Annual Report'!$D$411&lt;&gt;""),AND('2023 Satellite(s)'!$F$66&lt;&gt;"",'2023 Satellite(s)'!$F73="",'2023 Annual Report'!$D$411&lt;&gt;""),AND('2023 Satellite(s)'!$G$66&lt;&gt;"",'2023 Satellite(s)'!$G73="",'2023 Annual Report'!$D$411&lt;&gt;""),AND('2023 Satellite(s)'!$H$66&lt;&gt;"",'2023 Satellite(s)'!$H73="",'2023 Annual Report'!$D$411&lt;&gt;""),AND('2023 Satellite(s)'!$I$66&lt;&gt;"",'2023 Satellite(s)'!$I73="",'2023 Annual Report'!$D$411&lt;&gt;""),AND('2023 Satellite(s)'!$J$66&lt;&gt;"",'2023 Satellite(s)'!$J73="",'2023 Annual Report'!$D$411&lt;&gt;""),AND('2023 Satellite(s)'!$K$66&lt;&gt;"",'2023 Satellite(s)'!$K73="",'2023 Annual Report'!$D$411&lt;&gt;""),AND('2023 Satellite(s)'!$L$66&lt;&gt;"",'2023 Satellite(s)'!$L73="",'2023 Annual Report'!$D$411&lt;&gt;""),AND('2023 Satellite(s)'!$M$66&lt;&gt;"",'2023 Satellite(s)'!$M73="",'2023 Annual Report'!$D$411&lt;&gt;"")),1,"")</f>
        <v/>
      </c>
      <c r="Q73" s="588"/>
      <c r="R73" s="588"/>
      <c r="S73" s="588"/>
      <c r="T73" s="588"/>
      <c r="U73" s="588"/>
      <c r="V73" s="588"/>
      <c r="W73" s="588"/>
      <c r="Z73" s="397"/>
      <c r="AA73" s="397"/>
      <c r="AB73" s="397"/>
      <c r="AC73" s="397"/>
      <c r="AD73" s="397"/>
      <c r="AE73" s="397"/>
      <c r="AF73" s="397"/>
      <c r="AI73" s="397"/>
      <c r="AJ73" s="397"/>
      <c r="AK73" s="397"/>
      <c r="AL73" s="397"/>
      <c r="AM73" s="397"/>
      <c r="AN73" s="397"/>
      <c r="AO73" s="397"/>
      <c r="AR73" s="397"/>
      <c r="AS73" s="397"/>
      <c r="AT73" s="397"/>
      <c r="AU73" s="397"/>
      <c r="AV73" s="397"/>
      <c r="AW73" s="397"/>
      <c r="AX73" s="397"/>
      <c r="BA73" s="397" t="str">
        <f>IF(AI63="Please Select","",IF(AND(AZ62&lt;&gt;"",BA63="Yes",BA67="Yes"),"Describe the non-academic pattern or trend and the disciplanary action(s) that causes high attrition:",IF(AND(AZ62&lt;&gt;"",BA63="Yes",BA67="No"),"Describe the non-academic pattern or trend that causes high attrition:",IF(AND(AZ62&lt;&gt;"",BA63="No",BA67="Yes"),"Describe the disciplinary action(s) that cause high attrition:",IF(AND(AZ62&lt;&gt;"",BA63="No",BA67="No"),"          Complete additional questions to the right ==&gt;","")))))</f>
        <v/>
      </c>
      <c r="BB73" s="397"/>
      <c r="BC73" s="397"/>
      <c r="BD73" s="397"/>
      <c r="BE73" s="397"/>
      <c r="BF73" s="397"/>
      <c r="BG73" s="397"/>
      <c r="BI73" s="189" t="str">
        <f>IF(AI63="Please Select","",IF(AI63="Yes","15)",IF(AI63="No","13)","")))</f>
        <v/>
      </c>
      <c r="BJ73" s="421" t="str">
        <f>IF(AI63="Please Select","",IF(AI63="Yes","What is the program's action plan and the timetable for those actions to address each of your conclusions?",IF(AI63="No","What is the program's action plan and the timetable for those actions to address each of your conclusions?","")))</f>
        <v/>
      </c>
      <c r="BK73" s="421"/>
      <c r="BL73" s="421"/>
      <c r="BM73" s="421"/>
      <c r="BN73" s="421"/>
      <c r="BO73" s="421"/>
      <c r="BP73" s="421"/>
    </row>
    <row r="74" spans="2:69" ht="18" customHeight="1" x14ac:dyDescent="0.35">
      <c r="B74" s="31"/>
      <c r="C74" s="123" t="s">
        <v>41</v>
      </c>
      <c r="D74" s="41"/>
      <c r="E74" s="131"/>
      <c r="F74" s="131"/>
      <c r="G74" s="131"/>
      <c r="H74" s="131"/>
      <c r="I74" s="131"/>
      <c r="J74" s="131"/>
      <c r="K74" s="131"/>
      <c r="L74" s="131"/>
      <c r="M74" s="131"/>
      <c r="N74" s="54" t="str">
        <f>IF(COUNT(E74:M74),SUM(E74:M74),"")</f>
        <v/>
      </c>
      <c r="O74" s="170" t="str">
        <f>IF(P74=1, "&lt;===", "")</f>
        <v/>
      </c>
      <c r="P74" s="172" t="str">
        <f>IF(OR(AND($E$66&lt;&gt;"",$E74="",'2023 Annual Report'!$D$411&lt;&gt;""),AND('2023 Satellite(s)'!$F$66&lt;&gt;"",'2023 Satellite(s)'!$F74="",'2023 Annual Report'!$D$411&lt;&gt;""),AND('2023 Satellite(s)'!$G$66&lt;&gt;"",'2023 Satellite(s)'!$G74="",'2023 Annual Report'!$D$411&lt;&gt;""),AND('2023 Satellite(s)'!$H$66&lt;&gt;"",'2023 Satellite(s)'!$H74="",'2023 Annual Report'!$D$411&lt;&gt;""),AND('2023 Satellite(s)'!$I$66&lt;&gt;"",'2023 Satellite(s)'!$I74="",'2023 Annual Report'!$D$411&lt;&gt;""),AND('2023 Satellite(s)'!$J$66&lt;&gt;"",'2023 Satellite(s)'!$J74="",'2023 Annual Report'!$D$411&lt;&gt;""),AND('2023 Satellite(s)'!$K$66&lt;&gt;"",'2023 Satellite(s)'!$K74="",'2023 Annual Report'!$D$411&lt;&gt;""),AND('2023 Satellite(s)'!$L$66&lt;&gt;"",'2023 Satellite(s)'!$L74="",'2023 Annual Report'!$D$411&lt;&gt;""),AND('2023 Satellite(s)'!$M$66&lt;&gt;"",'2023 Satellite(s)'!$M74="",'2023 Annual Report'!$D$411&lt;&gt;"")),1,"")</f>
        <v/>
      </c>
      <c r="Q74" s="588"/>
      <c r="R74" s="588"/>
      <c r="S74" s="588"/>
      <c r="T74" s="588"/>
      <c r="U74" s="588"/>
      <c r="V74" s="588"/>
      <c r="W74" s="588"/>
      <c r="Z74" s="586"/>
      <c r="AA74" s="586"/>
      <c r="AC74" s="414"/>
      <c r="AD74" s="414"/>
      <c r="AE74" s="586"/>
      <c r="AF74" s="586"/>
      <c r="AG74" s="197"/>
      <c r="AI74" s="586"/>
      <c r="AJ74" s="586"/>
      <c r="AO74" s="3"/>
      <c r="AP74" s="197"/>
      <c r="AR74" s="587"/>
      <c r="AS74" s="587"/>
      <c r="AT74" s="587"/>
      <c r="AU74" s="587"/>
      <c r="AV74" s="587"/>
      <c r="AW74" s="587"/>
      <c r="AX74" s="587"/>
      <c r="BA74" s="397"/>
      <c r="BB74" s="397"/>
      <c r="BC74" s="397"/>
      <c r="BD74" s="397"/>
      <c r="BE74" s="397"/>
      <c r="BF74" s="397"/>
      <c r="BG74" s="397"/>
      <c r="BJ74" s="421"/>
      <c r="BK74" s="421"/>
      <c r="BL74" s="421"/>
      <c r="BM74" s="421"/>
      <c r="BN74" s="421"/>
      <c r="BO74" s="421"/>
      <c r="BP74" s="421"/>
    </row>
    <row r="75" spans="2:69" ht="18" customHeight="1" x14ac:dyDescent="0.35">
      <c r="B75" s="45"/>
      <c r="C75" s="122" t="s">
        <v>42</v>
      </c>
      <c r="D75" s="42"/>
      <c r="E75" s="130"/>
      <c r="F75" s="130"/>
      <c r="G75" s="130"/>
      <c r="H75" s="130"/>
      <c r="I75" s="130"/>
      <c r="J75" s="130"/>
      <c r="K75" s="130"/>
      <c r="L75" s="130"/>
      <c r="M75" s="130"/>
      <c r="N75" s="55" t="str">
        <f>IF(COUNT(E75:M75),SUM(E75:M75),"")</f>
        <v/>
      </c>
      <c r="O75" s="170" t="str">
        <f>IF(P75=1, "&lt;===", "")</f>
        <v/>
      </c>
      <c r="P75" s="172" t="str">
        <f>IF(OR(AND($E$66&lt;&gt;"",$E75="",'2023 Annual Report'!$D$411&lt;&gt;""),AND('2023 Satellite(s)'!$F$66&lt;&gt;"",'2023 Satellite(s)'!$F75="",'2023 Annual Report'!$D$411&lt;&gt;""),AND('2023 Satellite(s)'!$G$66&lt;&gt;"",'2023 Satellite(s)'!$G75="",'2023 Annual Report'!$D$411&lt;&gt;""),AND('2023 Satellite(s)'!$H$66&lt;&gt;"",'2023 Satellite(s)'!$H75="",'2023 Annual Report'!$D$411&lt;&gt;""),AND('2023 Satellite(s)'!$I$66&lt;&gt;"",'2023 Satellite(s)'!$I75="",'2023 Annual Report'!$D$411&lt;&gt;""),AND('2023 Satellite(s)'!$J$66&lt;&gt;"",'2023 Satellite(s)'!$J75="",'2023 Annual Report'!$D$411&lt;&gt;""),AND('2023 Satellite(s)'!$K$66&lt;&gt;"",'2023 Satellite(s)'!$K75="",'2023 Annual Report'!$D$411&lt;&gt;""),AND('2023 Satellite(s)'!$L$66&lt;&gt;"",'2023 Satellite(s)'!$L75="",'2023 Annual Report'!$D$411&lt;&gt;""),AND('2023 Satellite(s)'!$M$66&lt;&gt;"",'2023 Satellite(s)'!$M75="",'2023 Annual Report'!$D$411&lt;&gt;"")),1,"")</f>
        <v/>
      </c>
      <c r="Q75" s="595"/>
      <c r="R75" s="595"/>
      <c r="S75" s="595"/>
      <c r="T75" s="595"/>
      <c r="U75" s="595"/>
      <c r="V75" s="595"/>
      <c r="W75" s="595"/>
      <c r="AF75" s="167"/>
      <c r="AR75" s="587"/>
      <c r="AS75" s="587"/>
      <c r="AT75" s="587"/>
      <c r="AU75" s="587"/>
      <c r="AV75" s="587"/>
      <c r="AW75" s="587"/>
      <c r="AX75" s="587"/>
      <c r="BA75" s="587"/>
      <c r="BB75" s="587"/>
      <c r="BC75" s="587"/>
      <c r="BD75" s="587"/>
      <c r="BE75" s="587"/>
      <c r="BF75" s="587"/>
      <c r="BG75" s="587"/>
      <c r="BJ75" s="587"/>
      <c r="BK75" s="587"/>
      <c r="BL75" s="587"/>
      <c r="BM75" s="587"/>
      <c r="BN75" s="587"/>
      <c r="BO75" s="587"/>
      <c r="BP75" s="587"/>
    </row>
    <row r="76" spans="2:69" ht="25.5" customHeight="1" x14ac:dyDescent="0.35">
      <c r="B76" s="546" t="s">
        <v>40</v>
      </c>
      <c r="C76" s="547"/>
      <c r="D76" s="548"/>
      <c r="E76" s="153" t="str">
        <f>IF(OR(E73="",E74="",E75=""),"",SUM(E73:E75))</f>
        <v/>
      </c>
      <c r="F76" s="153" t="str">
        <f>IF(OR(F73="",F74="",F75=""),"",SUM(F73:F75))</f>
        <v/>
      </c>
      <c r="G76" s="153" t="str">
        <f t="shared" ref="G76:M76" si="3">IF(OR(G73="",G74="",G75=""),"",SUM(G73:G75))</f>
        <v/>
      </c>
      <c r="H76" s="153" t="str">
        <f>IF(OR(H73="",H74="",H75=""),"",SUM(H73:H75))</f>
        <v/>
      </c>
      <c r="I76" s="153" t="str">
        <f t="shared" si="3"/>
        <v/>
      </c>
      <c r="J76" s="153" t="str">
        <f>IF(OR(J73="",J74="",J75=""),"",SUM(J73:J75))</f>
        <v/>
      </c>
      <c r="K76" s="153" t="str">
        <f t="shared" si="3"/>
        <v/>
      </c>
      <c r="L76" s="153" t="str">
        <f t="shared" si="3"/>
        <v/>
      </c>
      <c r="M76" s="153" t="str">
        <f t="shared" si="3"/>
        <v/>
      </c>
      <c r="N76" s="151" t="str">
        <f>IF(COUNT(N73:N75),SUM(N73:N75),"")</f>
        <v/>
      </c>
      <c r="P76" s="172"/>
      <c r="Q76" s="595"/>
      <c r="R76" s="595"/>
      <c r="S76" s="595"/>
      <c r="T76" s="595"/>
      <c r="U76" s="595"/>
      <c r="V76" s="595"/>
      <c r="W76" s="595"/>
      <c r="Y76" s="61"/>
      <c r="Z76" s="397"/>
      <c r="AA76" s="397"/>
      <c r="AB76" s="397"/>
      <c r="AC76" s="397"/>
      <c r="AD76" s="397"/>
      <c r="AE76" s="397"/>
      <c r="AF76" s="397"/>
      <c r="AI76" s="397"/>
      <c r="AJ76" s="397"/>
      <c r="AK76" s="397"/>
      <c r="AL76" s="397"/>
      <c r="AM76" s="397"/>
      <c r="AN76" s="397"/>
      <c r="AO76" s="397"/>
      <c r="AR76" s="587"/>
      <c r="AS76" s="587"/>
      <c r="AT76" s="587"/>
      <c r="AU76" s="587"/>
      <c r="AV76" s="587"/>
      <c r="AW76" s="587"/>
      <c r="AX76" s="587"/>
      <c r="BA76" s="587"/>
      <c r="BB76" s="587"/>
      <c r="BC76" s="587"/>
      <c r="BD76" s="587"/>
      <c r="BE76" s="587"/>
      <c r="BF76" s="587"/>
      <c r="BG76" s="587"/>
      <c r="BJ76" s="587"/>
      <c r="BK76" s="587"/>
      <c r="BL76" s="587"/>
      <c r="BM76" s="587"/>
      <c r="BN76" s="587"/>
      <c r="BO76" s="587"/>
      <c r="BP76" s="587"/>
    </row>
    <row r="77" spans="2:69" ht="24.75" customHeight="1" x14ac:dyDescent="0.35">
      <c r="B77" s="542" t="str">
        <f>"Total Satellite Attrition " &amp;D4</f>
        <v>Total Satellite Attrition 2023</v>
      </c>
      <c r="C77" s="543"/>
      <c r="D77" s="544"/>
      <c r="E77" s="152" t="str">
        <f>IF(OR(E66=0,E71="",E76=""),"",(SUM(E71,E76)))</f>
        <v/>
      </c>
      <c r="F77" s="152" t="str">
        <f t="shared" ref="F77:M77" si="4">IF(OR(F66=0,F71="",F76=""),"",(SUM(F71,F76)))</f>
        <v/>
      </c>
      <c r="G77" s="152" t="str">
        <f t="shared" si="4"/>
        <v/>
      </c>
      <c r="H77" s="152" t="str">
        <f t="shared" si="4"/>
        <v/>
      </c>
      <c r="I77" s="152" t="str">
        <f t="shared" si="4"/>
        <v/>
      </c>
      <c r="J77" s="152" t="str">
        <f t="shared" si="4"/>
        <v/>
      </c>
      <c r="K77" s="152" t="str">
        <f t="shared" si="4"/>
        <v/>
      </c>
      <c r="L77" s="152" t="str">
        <f t="shared" si="4"/>
        <v/>
      </c>
      <c r="M77" s="152" t="str">
        <f t="shared" si="4"/>
        <v/>
      </c>
      <c r="N77" s="152" t="str">
        <f>IF(COUNT(E77:M77),SUM(E77:M77),"")</f>
        <v/>
      </c>
      <c r="P77" s="173"/>
      <c r="Q77" s="595"/>
      <c r="R77" s="595"/>
      <c r="S77" s="595"/>
      <c r="T77" s="595"/>
      <c r="U77" s="595"/>
      <c r="V77" s="595"/>
      <c r="W77" s="595"/>
      <c r="Z77" s="397"/>
      <c r="AA77" s="397"/>
      <c r="AB77" s="397"/>
      <c r="AC77" s="397"/>
      <c r="AD77" s="397"/>
      <c r="AE77" s="397"/>
      <c r="AF77" s="397"/>
      <c r="AI77" s="397"/>
      <c r="AJ77" s="397"/>
      <c r="AK77" s="397"/>
      <c r="AL77" s="397"/>
      <c r="AM77" s="397"/>
      <c r="AN77" s="397"/>
      <c r="AO77" s="397"/>
      <c r="AR77" s="587"/>
      <c r="AS77" s="587"/>
      <c r="AT77" s="587"/>
      <c r="AU77" s="587"/>
      <c r="AV77" s="587"/>
      <c r="AW77" s="587"/>
      <c r="AX77" s="587"/>
      <c r="BA77" s="587"/>
      <c r="BB77" s="587"/>
      <c r="BC77" s="587"/>
      <c r="BD77" s="587"/>
      <c r="BE77" s="587"/>
      <c r="BF77" s="587"/>
      <c r="BG77" s="587"/>
      <c r="BJ77" s="587"/>
      <c r="BK77" s="587"/>
      <c r="BL77" s="587"/>
      <c r="BM77" s="587"/>
      <c r="BN77" s="587"/>
      <c r="BO77" s="587"/>
      <c r="BP77" s="587"/>
    </row>
    <row r="78" spans="2:69" ht="24.75" customHeight="1" thickBot="1" x14ac:dyDescent="0.4">
      <c r="B78" s="139" t="str">
        <f>"Total Satellite Graduates " &amp;D4</f>
        <v>Total Satellite Graduates 2023</v>
      </c>
      <c r="C78" s="140"/>
      <c r="D78" s="140"/>
      <c r="E78" s="141" t="str">
        <f>IF(OR(E66=0,E71="",E76=""),"",(E66-(SUM(E71,E76))))</f>
        <v/>
      </c>
      <c r="F78" s="141" t="str">
        <f t="shared" ref="F78:M78" si="5">IF(OR(F66=0,F71="",F76=""),"",(F66-(SUM(F71,F76))))</f>
        <v/>
      </c>
      <c r="G78" s="141" t="str">
        <f t="shared" si="5"/>
        <v/>
      </c>
      <c r="H78" s="141" t="str">
        <f t="shared" si="5"/>
        <v/>
      </c>
      <c r="I78" s="141" t="str">
        <f t="shared" si="5"/>
        <v/>
      </c>
      <c r="J78" s="141" t="str">
        <f t="shared" si="5"/>
        <v/>
      </c>
      <c r="K78" s="141" t="str">
        <f t="shared" si="5"/>
        <v/>
      </c>
      <c r="L78" s="141" t="str">
        <f t="shared" si="5"/>
        <v/>
      </c>
      <c r="M78" s="141" t="str">
        <f t="shared" si="5"/>
        <v/>
      </c>
      <c r="N78" s="141" t="str">
        <f>IF(COUNT(E78:M78),SUM(E78:M78),"")</f>
        <v/>
      </c>
      <c r="Q78" s="595"/>
      <c r="R78" s="595"/>
      <c r="S78" s="595"/>
      <c r="T78" s="595"/>
      <c r="U78" s="595"/>
      <c r="V78" s="595"/>
      <c r="W78" s="595"/>
      <c r="X78" s="197"/>
      <c r="Z78" s="587"/>
      <c r="AA78" s="587"/>
      <c r="AB78" s="587"/>
      <c r="AC78" s="587"/>
      <c r="AD78" s="587"/>
      <c r="AE78" s="587"/>
      <c r="AF78" s="587"/>
      <c r="AG78" s="197"/>
      <c r="AI78" s="587"/>
      <c r="AJ78" s="587"/>
      <c r="AK78" s="587"/>
      <c r="AL78" s="587"/>
      <c r="AM78" s="587"/>
      <c r="AN78" s="587"/>
      <c r="AO78" s="587"/>
      <c r="AP78" s="197"/>
      <c r="AR78" s="587"/>
      <c r="AS78" s="587"/>
      <c r="AT78" s="587"/>
      <c r="AU78" s="587"/>
      <c r="AV78" s="587"/>
      <c r="AW78" s="587"/>
      <c r="AX78" s="587"/>
      <c r="AY78" s="197" t="e">
        <f>IF(AY79=1,"&lt;===", "")</f>
        <v>#REF!</v>
      </c>
      <c r="BA78" s="587"/>
      <c r="BB78" s="587"/>
      <c r="BC78" s="587"/>
      <c r="BD78" s="587"/>
      <c r="BE78" s="587"/>
      <c r="BF78" s="587"/>
      <c r="BG78" s="587"/>
      <c r="BH78" s="197" t="e">
        <f>IF(BH79=1,"&lt;===", "")</f>
        <v>#REF!</v>
      </c>
      <c r="BJ78" s="587"/>
      <c r="BK78" s="587"/>
      <c r="BL78" s="587"/>
      <c r="BM78" s="587"/>
      <c r="BN78" s="587"/>
      <c r="BO78" s="587"/>
      <c r="BP78" s="587"/>
      <c r="BQ78" s="197" t="e">
        <f>IF(BQ79=1,"&lt;===", "")</f>
        <v>#REF!</v>
      </c>
    </row>
    <row r="79" spans="2:69" ht="22" customHeight="1" thickTop="1" x14ac:dyDescent="0.35">
      <c r="B79" s="592" t="s">
        <v>94</v>
      </c>
      <c r="C79" s="593"/>
      <c r="D79" s="594"/>
      <c r="E79" s="144" t="str">
        <f>IF(AND(E71="",E76=""),"",IFERROR(SUM(E68,E69,E70,E73,E74,E75)/E66,""))</f>
        <v/>
      </c>
      <c r="F79" s="144" t="str">
        <f t="shared" ref="F79:M79" si="6">IF(AND(F71="",F76=""),"",IFERROR(SUM(F68,F69,F70,F73,F74,F75)/F66,""))</f>
        <v/>
      </c>
      <c r="G79" s="144" t="str">
        <f t="shared" si="6"/>
        <v/>
      </c>
      <c r="H79" s="144" t="str">
        <f t="shared" si="6"/>
        <v/>
      </c>
      <c r="I79" s="144" t="str">
        <f t="shared" si="6"/>
        <v/>
      </c>
      <c r="J79" s="144" t="str">
        <f t="shared" si="6"/>
        <v/>
      </c>
      <c r="K79" s="144" t="str">
        <f t="shared" si="6"/>
        <v/>
      </c>
      <c r="L79" s="144" t="str">
        <f t="shared" si="6"/>
        <v/>
      </c>
      <c r="M79" s="205" t="str">
        <f t="shared" si="6"/>
        <v/>
      </c>
      <c r="N79" s="145" t="str">
        <f>IF(N78&lt;&gt;"",1-N80,IF(N80=0,"",""))</f>
        <v/>
      </c>
      <c r="O79" s="155"/>
      <c r="P79" s="173"/>
      <c r="Q79" s="595"/>
      <c r="R79" s="595"/>
      <c r="S79" s="595"/>
      <c r="T79" s="595"/>
      <c r="U79" s="595"/>
      <c r="V79" s="595"/>
      <c r="W79" s="595"/>
      <c r="X79" s="167"/>
      <c r="Z79" s="587"/>
      <c r="AA79" s="587"/>
      <c r="AB79" s="587"/>
      <c r="AC79" s="587"/>
      <c r="AD79" s="587"/>
      <c r="AE79" s="587"/>
      <c r="AF79" s="587"/>
      <c r="AG79" s="167"/>
      <c r="AI79" s="587"/>
      <c r="AJ79" s="587"/>
      <c r="AK79" s="587"/>
      <c r="AL79" s="587"/>
      <c r="AM79" s="587"/>
      <c r="AN79" s="587"/>
      <c r="AO79" s="587"/>
      <c r="AP79" s="167"/>
      <c r="AR79" s="587"/>
      <c r="AS79" s="587"/>
      <c r="AT79" s="587"/>
      <c r="AU79" s="587"/>
      <c r="AV79" s="587"/>
      <c r="AW79" s="587"/>
      <c r="AX79" s="587"/>
      <c r="AY79" s="167" t="e">
        <f>IF(AND(P62&lt;&gt;"", AR72&lt;&gt;"",AR72&lt;&gt;"          Proceed to the next question to the right ==&gt;",AR74="",#REF!&lt;&gt;""),1,"")</f>
        <v>#REF!</v>
      </c>
      <c r="BA79" s="587"/>
      <c r="BB79" s="587"/>
      <c r="BC79" s="587"/>
      <c r="BD79" s="587"/>
      <c r="BE79" s="587"/>
      <c r="BF79" s="587"/>
      <c r="BG79" s="587"/>
      <c r="BH79" s="167" t="e">
        <f>IF(AND(P62&lt;&gt;"", BA73&lt;&gt;"",BA73&lt;&gt;"          Complete additional questions to the right ==&gt;",BA75="",#REF!&lt;&gt;""),1,"")</f>
        <v>#REF!</v>
      </c>
      <c r="BJ79" s="587"/>
      <c r="BK79" s="587"/>
      <c r="BL79" s="587"/>
      <c r="BM79" s="587"/>
      <c r="BN79" s="587"/>
      <c r="BO79" s="587"/>
      <c r="BP79" s="587"/>
      <c r="BQ79" s="167" t="e">
        <f>IF(AND(P62&lt;&gt;"", AI63&lt;&gt;"Please Select",BJ75="",#REF!&lt;&gt;""),1, "")</f>
        <v>#REF!</v>
      </c>
    </row>
    <row r="80" spans="2:69" ht="26.25" customHeight="1" x14ac:dyDescent="0.35">
      <c r="B80" s="534" t="s">
        <v>95</v>
      </c>
      <c r="C80" s="535"/>
      <c r="D80" s="536"/>
      <c r="E80" s="146" t="str">
        <f>IF(E78&lt;&gt;"",1-E79,IF(E79=0,"",""))</f>
        <v/>
      </c>
      <c r="F80" s="146" t="str">
        <f>IF(F78&lt;&gt;"",1-F79,IF(F79=0,"",""))</f>
        <v/>
      </c>
      <c r="G80" s="146" t="str">
        <f>IF(G78&lt;&gt;"",1-G79,IF(G79=0,"",""))</f>
        <v/>
      </c>
      <c r="H80" s="146" t="str">
        <f t="shared" ref="H80:M80" si="7">IF(H78&lt;&gt;"",1-H79,IF(H79=0,"",""))</f>
        <v/>
      </c>
      <c r="I80" s="146" t="str">
        <f t="shared" si="7"/>
        <v/>
      </c>
      <c r="J80" s="146" t="str">
        <f t="shared" si="7"/>
        <v/>
      </c>
      <c r="K80" s="146" t="str">
        <f t="shared" si="7"/>
        <v/>
      </c>
      <c r="L80" s="146" t="str">
        <f t="shared" si="7"/>
        <v/>
      </c>
      <c r="M80" s="147" t="str">
        <f t="shared" si="7"/>
        <v/>
      </c>
      <c r="N80" s="148">
        <f>IF(AND(N66&lt;&gt;"",N71&lt;&gt;"",N76&lt;&gt;""),N78/N66,0)</f>
        <v>0</v>
      </c>
      <c r="O80" s="170"/>
      <c r="P80" s="171"/>
      <c r="Q80" s="595"/>
      <c r="R80" s="595"/>
      <c r="S80" s="595"/>
      <c r="T80" s="595"/>
      <c r="U80" s="595"/>
      <c r="V80" s="595"/>
      <c r="W80" s="595"/>
      <c r="Z80" s="587"/>
      <c r="AA80" s="587"/>
      <c r="AB80" s="587"/>
      <c r="AC80" s="587"/>
      <c r="AD80" s="587"/>
      <c r="AE80" s="587"/>
      <c r="AF80" s="587"/>
      <c r="AI80" s="587"/>
      <c r="AJ80" s="587"/>
      <c r="AK80" s="587"/>
      <c r="AL80" s="587"/>
      <c r="AM80" s="587"/>
      <c r="AN80" s="587"/>
      <c r="AO80" s="587"/>
      <c r="AR80" s="587"/>
      <c r="AS80" s="587"/>
      <c r="AT80" s="587"/>
      <c r="AU80" s="587"/>
      <c r="AV80" s="587"/>
      <c r="AW80" s="587"/>
      <c r="AX80" s="587"/>
      <c r="BA80" s="587"/>
      <c r="BB80" s="587"/>
      <c r="BC80" s="587"/>
      <c r="BD80" s="587"/>
      <c r="BE80" s="587"/>
      <c r="BF80" s="587"/>
      <c r="BG80" s="587"/>
      <c r="BJ80" s="587"/>
      <c r="BK80" s="587"/>
      <c r="BL80" s="587"/>
      <c r="BM80" s="587"/>
      <c r="BN80" s="587"/>
      <c r="BO80" s="587"/>
      <c r="BP80" s="587"/>
    </row>
    <row r="81" spans="2:84" ht="93" customHeight="1" x14ac:dyDescent="0.35">
      <c r="B81" s="589" t="str">
        <f>IF(OR(AND(N80&lt;0.7,B82="",N66&lt;&gt;"",N79&lt;&gt;0),AND(N66&lt;&gt;"",B82="",N80&gt;=0.7,N79&lt;100%)),"This table is finished.  
The overall results for this outcome are calculated on the "&amp;D4&amp;" Annual Report tab.  
Please complete the next table below.","")</f>
        <v/>
      </c>
      <c r="C81" s="590"/>
      <c r="D81" s="590"/>
      <c r="E81" s="590"/>
      <c r="F81" s="590"/>
      <c r="G81" s="590"/>
      <c r="H81" s="590"/>
      <c r="I81" s="590"/>
      <c r="J81" s="590"/>
      <c r="K81" s="590"/>
      <c r="L81" s="590"/>
      <c r="M81" s="590"/>
      <c r="N81" s="591"/>
      <c r="Q81" s="595"/>
      <c r="R81" s="595"/>
      <c r="S81" s="595"/>
      <c r="T81" s="595"/>
      <c r="U81" s="595"/>
      <c r="V81" s="595"/>
      <c r="W81" s="595"/>
      <c r="Z81" s="587"/>
      <c r="AA81" s="587"/>
      <c r="AB81" s="587"/>
      <c r="AC81" s="587"/>
      <c r="AD81" s="587"/>
      <c r="AE81" s="587"/>
      <c r="AF81" s="587"/>
      <c r="AI81" s="587"/>
      <c r="AJ81" s="587"/>
      <c r="AK81" s="587"/>
      <c r="AL81" s="587"/>
      <c r="AM81" s="587"/>
      <c r="AN81" s="587"/>
      <c r="AO81" s="587"/>
      <c r="AR81" s="587"/>
      <c r="AS81" s="587"/>
      <c r="AT81" s="587"/>
      <c r="AU81" s="587"/>
      <c r="AV81" s="587"/>
      <c r="AW81" s="587"/>
      <c r="AX81" s="587"/>
      <c r="BA81" s="587"/>
      <c r="BB81" s="587"/>
      <c r="BC81" s="587"/>
      <c r="BD81" s="587"/>
      <c r="BE81" s="587"/>
      <c r="BF81" s="587"/>
      <c r="BG81" s="587"/>
      <c r="BJ81" s="587"/>
      <c r="BK81" s="587"/>
      <c r="BL81" s="587"/>
      <c r="BM81" s="587"/>
      <c r="BN81" s="587"/>
      <c r="BO81" s="587"/>
      <c r="BP81" s="587"/>
    </row>
    <row r="82" spans="2:84" ht="51.75" customHeight="1" x14ac:dyDescent="0.35">
      <c r="B82" s="443" t="str">
        <f>IF(OR(AND(D4&lt;&gt;YEAR(E65),E65&lt;&gt;0),AND(D4&lt;&gt;YEAR(F65),F65&lt;&gt;0),AND(D4&lt;&gt;YEAR(G65),G65&lt;&gt;0),AND(D4&lt;&gt;YEAR(H65),H65&lt;&gt;0),AND(D4&lt;&gt;YEAR(I65),I65&lt;&gt;0),AND(D4&lt;&gt;YEAR(J65),J65&lt;&gt;0),AND(D4&lt;&gt;YEAR(K65),K65&lt;&gt;0),AND(D4&lt;&gt;YEAR(L65),L65&lt;&gt;0),AND(D4&lt;&gt;YEAR(M65),M65&lt;&gt;0)),"Error has occurred; Remove cohorts that do not graduate in the current year.",IF(OR(AND(E79&gt;100%,E78&lt;&gt;""),AND(F79&gt;100%,F78&lt;&gt;""),AND(G79&gt;100%,G78&lt;&gt;""),AND(H79&gt;100%,H78&lt;&gt;""),AND(I79&gt;100%,I78&lt;&gt;""),AND(J79&gt;100%,J78&lt;&gt;""),AND(K79&gt;100%,K78&lt;&gt;""),AND(L79&gt;100%,L78&lt;&gt;""),AND(M79&gt;100%,M78&lt;&gt;"")),"Error has occurred; Total number of graduates cannot be greater than the total number of students in the cohort",IF(OR(AND(E66&lt;&gt;"",E78="",E80=""),AND(F66&lt;&gt;"",F78="",F80=""),AND(G66&lt;&gt;"",G78="",G80=""),AND(H66&lt;&gt;"",H78="",H80=""),AND(I66&lt;&gt;"",I78="",I80=""),AND(J66&lt;&gt;"",J78="",J80=""),AND(K66&lt;&gt;"",K78="",K80=""),AND(L66&lt;&gt;"",L78="",L80=""),AND(M66&lt;&gt;"",M78="",M80="")),"Please Note: An empty or blank cell is not the same as a zero.",IF(AND(G29="Yes",P34&lt;&gt;"",P63&lt;&gt;""),"Error has occurred; The total number of active Satellite Locations selected for the table above is less than the total number of satellite data columns used",IF(AND(G29="No",N78&lt;&gt;""),"Error has occurred; No students graduated in the calendar year","")))))</f>
        <v/>
      </c>
      <c r="C82" s="443"/>
      <c r="D82" s="443"/>
      <c r="E82" s="443"/>
      <c r="F82" s="443"/>
      <c r="G82" s="443"/>
      <c r="H82" s="443"/>
      <c r="I82" s="443"/>
      <c r="J82" s="443"/>
      <c r="K82" s="443"/>
      <c r="L82" s="443"/>
      <c r="M82" s="443"/>
      <c r="N82" s="443"/>
      <c r="Q82" s="595"/>
      <c r="R82" s="595"/>
      <c r="S82" s="595"/>
      <c r="T82" s="595"/>
      <c r="U82" s="595"/>
      <c r="V82" s="595"/>
      <c r="W82" s="595"/>
      <c r="Z82" s="587"/>
      <c r="AA82" s="587"/>
      <c r="AB82" s="587"/>
      <c r="AC82" s="587"/>
      <c r="AD82" s="587"/>
      <c r="AE82" s="587"/>
      <c r="AF82" s="587"/>
      <c r="AI82" s="587"/>
      <c r="AJ82" s="587"/>
      <c r="AK82" s="587"/>
      <c r="AL82" s="587"/>
      <c r="AM82" s="587"/>
      <c r="AN82" s="587"/>
      <c r="AO82" s="587"/>
      <c r="AR82" s="587"/>
      <c r="AS82" s="587"/>
      <c r="AT82" s="587"/>
      <c r="AU82" s="587"/>
      <c r="AV82" s="587"/>
      <c r="AW82" s="587"/>
      <c r="AX82" s="587"/>
      <c r="BA82" s="587"/>
      <c r="BB82" s="587"/>
      <c r="BC82" s="587"/>
      <c r="BD82" s="587"/>
      <c r="BE82" s="587"/>
      <c r="BF82" s="587"/>
      <c r="BG82" s="587"/>
      <c r="BJ82" s="587"/>
      <c r="BK82" s="587"/>
      <c r="BL82" s="587"/>
      <c r="BM82" s="587"/>
      <c r="BN82" s="587"/>
      <c r="BO82" s="587"/>
      <c r="BP82" s="587"/>
    </row>
    <row r="83" spans="2:84" ht="114.75" customHeight="1" x14ac:dyDescent="0.35">
      <c r="B83" s="444" t="s">
        <v>80</v>
      </c>
      <c r="C83" s="445"/>
      <c r="D83" s="445"/>
      <c r="E83" s="445"/>
      <c r="F83" s="445"/>
      <c r="G83" s="445"/>
      <c r="H83" s="445"/>
      <c r="I83" s="445"/>
      <c r="J83" s="445"/>
      <c r="K83" s="445"/>
      <c r="L83" s="445"/>
      <c r="M83" s="445"/>
      <c r="N83" s="446"/>
      <c r="Q83" s="595"/>
      <c r="R83" s="595"/>
      <c r="S83" s="595"/>
      <c r="T83" s="595"/>
      <c r="U83" s="595"/>
      <c r="V83" s="595"/>
      <c r="W83" s="595"/>
      <c r="Z83" s="587"/>
      <c r="AA83" s="587"/>
      <c r="AB83" s="587"/>
      <c r="AC83" s="587"/>
      <c r="AD83" s="587"/>
      <c r="AE83" s="587"/>
      <c r="AF83" s="587"/>
      <c r="AI83" s="587"/>
      <c r="AJ83" s="587"/>
      <c r="AK83" s="587"/>
      <c r="AL83" s="587"/>
      <c r="AM83" s="587"/>
      <c r="AN83" s="587"/>
      <c r="AO83" s="587"/>
      <c r="AR83" s="587"/>
      <c r="AS83" s="587"/>
      <c r="AT83" s="587"/>
      <c r="AU83" s="587"/>
      <c r="AV83" s="587"/>
      <c r="AW83" s="587"/>
      <c r="AX83" s="587"/>
      <c r="BA83" s="587"/>
      <c r="BB83" s="587"/>
      <c r="BC83" s="587"/>
      <c r="BD83" s="587"/>
      <c r="BE83" s="587"/>
      <c r="BF83" s="587"/>
      <c r="BG83" s="587"/>
      <c r="BJ83" s="587"/>
      <c r="BK83" s="587"/>
      <c r="BL83" s="587"/>
      <c r="BM83" s="587"/>
      <c r="BN83" s="587"/>
      <c r="BO83" s="587"/>
      <c r="BP83" s="587"/>
    </row>
    <row r="86" spans="2:84" ht="24" customHeight="1" x14ac:dyDescent="0.35">
      <c r="C86" s="168">
        <f>$D$17</f>
        <v>600000</v>
      </c>
      <c r="D86" s="453" t="str">
        <f>$D$19</f>
        <v>Accordance Community College</v>
      </c>
      <c r="E86" s="453"/>
      <c r="F86" s="453"/>
      <c r="G86" s="453"/>
      <c r="H86" s="453"/>
      <c r="I86" s="453"/>
      <c r="J86" s="453"/>
      <c r="K86" s="453"/>
      <c r="Q86" s="373"/>
      <c r="R86" s="373"/>
      <c r="S86" s="422"/>
      <c r="T86" s="422"/>
      <c r="U86" s="422"/>
      <c r="V86" s="422"/>
      <c r="W86" s="422"/>
      <c r="X86" s="422"/>
      <c r="Y86" s="422"/>
      <c r="Z86" s="422"/>
      <c r="AA86" s="422"/>
      <c r="AB86" s="422"/>
      <c r="AI86" s="373"/>
      <c r="AJ86" s="373"/>
      <c r="AK86" s="422"/>
      <c r="AL86" s="422"/>
      <c r="AM86" s="422"/>
      <c r="AN86" s="422"/>
      <c r="AO86" s="422"/>
      <c r="AP86" s="422"/>
      <c r="AQ86" s="422"/>
      <c r="AR86" s="422"/>
      <c r="AS86" s="422"/>
      <c r="AT86" s="422"/>
      <c r="BA86" s="373" t="e">
        <f>IF(#REF!&lt;&gt;"",$D$17,"")</f>
        <v>#REF!</v>
      </c>
      <c r="BB86" s="373"/>
      <c r="BC86" s="422" t="e">
        <f>IF(#REF!&lt;&gt;"",$D$19,"")</f>
        <v>#REF!</v>
      </c>
      <c r="BD86" s="422"/>
      <c r="BE86" s="422"/>
      <c r="BF86" s="422"/>
      <c r="BG86" s="422"/>
      <c r="BH86" s="422"/>
      <c r="BI86" s="422"/>
      <c r="BJ86" s="422"/>
      <c r="BK86" s="422"/>
      <c r="BL86" s="422"/>
      <c r="BT86" s="373" t="e">
        <f>IF(#REF!&lt;&gt;"",$D$17,"")</f>
        <v>#REF!</v>
      </c>
      <c r="BU86" s="373"/>
      <c r="BV86" s="422" t="e">
        <f>IF(#REF!&lt;&gt;"",$D$19,"")</f>
        <v>#REF!</v>
      </c>
      <c r="BW86" s="422"/>
      <c r="BX86" s="422"/>
      <c r="BY86" s="422"/>
      <c r="BZ86" s="422"/>
      <c r="CA86" s="596" t="e">
        <f>IF(#REF!&lt;&gt;"", "&lt;== Once the analysis and action plan boxes have 
        been completed, CLICK HERE to proceed to 
        the next section or scroll back", "")</f>
        <v>#REF!</v>
      </c>
      <c r="CB86" s="596"/>
      <c r="CC86" s="596"/>
      <c r="CD86" s="596"/>
      <c r="CE86" s="596"/>
      <c r="CF86" s="156"/>
    </row>
    <row r="87" spans="2:84" x14ac:dyDescent="0.35">
      <c r="E87" s="121"/>
      <c r="J87" s="192"/>
      <c r="K87" s="192"/>
      <c r="R87" s="422"/>
      <c r="S87" s="422"/>
      <c r="T87" s="422"/>
      <c r="U87" s="422"/>
      <c r="V87" s="422"/>
      <c r="W87" s="422"/>
      <c r="AK87" s="422"/>
      <c r="AL87" s="422"/>
      <c r="AM87" s="422"/>
      <c r="AN87" s="422"/>
      <c r="AO87" s="422"/>
      <c r="BD87" s="422"/>
      <c r="BE87" s="422"/>
      <c r="BF87" s="422"/>
      <c r="BG87" s="422"/>
      <c r="BH87" s="422"/>
      <c r="BL87" s="219"/>
      <c r="CA87" s="596"/>
      <c r="CB87" s="596"/>
      <c r="CC87" s="596"/>
      <c r="CD87" s="596"/>
      <c r="CE87" s="596"/>
    </row>
    <row r="88" spans="2:84" ht="23.25" customHeight="1" x14ac:dyDescent="0.4">
      <c r="B88" s="30" t="s">
        <v>99</v>
      </c>
      <c r="C88" s="21"/>
      <c r="D88" s="21"/>
      <c r="E88" s="21"/>
      <c r="F88" s="21"/>
      <c r="G88" s="21"/>
      <c r="H88" s="21"/>
      <c r="I88" s="21"/>
      <c r="J88" s="21"/>
      <c r="K88" s="21"/>
      <c r="L88" s="21"/>
      <c r="M88" s="21"/>
      <c r="N88" s="22"/>
      <c r="Q88" s="64"/>
      <c r="R88" s="64"/>
      <c r="S88" s="64"/>
      <c r="T88" s="64"/>
      <c r="U88" s="64"/>
      <c r="V88" s="64"/>
      <c r="W88" s="64"/>
      <c r="X88" s="64"/>
      <c r="Z88" s="587"/>
      <c r="AA88" s="587"/>
      <c r="AB88" s="587"/>
      <c r="AC88" s="587"/>
      <c r="AD88" s="587"/>
      <c r="AE88" s="587"/>
      <c r="AF88" s="587"/>
      <c r="AG88" s="204"/>
      <c r="AI88" s="587"/>
      <c r="AJ88" s="587"/>
      <c r="AK88" s="587"/>
      <c r="AL88" s="587"/>
      <c r="AM88" s="587"/>
      <c r="AN88" s="587"/>
      <c r="AO88" s="587"/>
      <c r="AP88" s="204"/>
      <c r="AR88" s="587"/>
      <c r="AS88" s="587"/>
      <c r="AT88" s="587"/>
      <c r="AU88" s="587"/>
      <c r="AV88" s="587"/>
      <c r="AW88" s="587"/>
      <c r="AX88" s="587"/>
      <c r="AY88" s="167"/>
      <c r="BA88" s="190"/>
      <c r="BB88" s="190"/>
      <c r="BC88" s="190"/>
      <c r="BD88" s="190"/>
      <c r="BE88" s="190"/>
      <c r="BF88" s="190"/>
      <c r="BG88" s="190"/>
      <c r="BH88" s="62"/>
      <c r="BI88" s="62"/>
      <c r="BJ88" s="602"/>
      <c r="BK88" s="602"/>
      <c r="BL88" s="602"/>
      <c r="BM88" s="602"/>
      <c r="BN88" s="602"/>
      <c r="BO88" s="602"/>
      <c r="BP88" s="602"/>
      <c r="BQ88" s="222"/>
      <c r="BV88" s="397" t="e">
        <f>IF(#REF!="Yes","What equipment was purchased to address the identified deficiencies?",IF(#REF!="No","Proceed to next question below",""))</f>
        <v>#REF!</v>
      </c>
      <c r="BW88" s="397"/>
      <c r="BX88" s="397"/>
      <c r="BY88" s="397"/>
      <c r="BZ88" s="397"/>
      <c r="CA88" s="397"/>
      <c r="CB88" s="397"/>
      <c r="CC88" s="397"/>
      <c r="CD88" s="397"/>
      <c r="CE88" s="397"/>
    </row>
    <row r="89" spans="2:84" ht="62.25" customHeight="1" x14ac:dyDescent="0.35">
      <c r="B89" s="454" t="str">
        <f>"The Written Examination (National Registry/State) outcome threshold set by the CoAEMSP is 70%.  The success of any examination results will be computed using the most recent reporting year ("&amp;D4&amp;") based on the total number of graduates attempting the examination.  Each graduate should be reported only once."</f>
        <v>The Written Examination (National Registry/State) outcome threshold set by the CoAEMSP is 70%.  The success of any examination results will be computed using the most recent reporting year (2023) based on the total number of graduates attempting the examination.  Each graduate should be reported only once.</v>
      </c>
      <c r="C89" s="455"/>
      <c r="D89" s="455"/>
      <c r="E89" s="455"/>
      <c r="F89" s="455"/>
      <c r="G89" s="455"/>
      <c r="H89" s="455"/>
      <c r="I89" s="455"/>
      <c r="J89" s="455"/>
      <c r="K89" s="455"/>
      <c r="L89" s="455"/>
      <c r="M89" s="455"/>
      <c r="N89" s="456"/>
      <c r="P89" s="174"/>
      <c r="Q89" s="397"/>
      <c r="R89" s="397"/>
      <c r="S89" s="397"/>
      <c r="T89" s="397"/>
      <c r="U89" s="397"/>
      <c r="V89" s="397"/>
      <c r="W89" s="397"/>
      <c r="X89" s="221"/>
      <c r="Z89" s="587"/>
      <c r="AA89" s="587"/>
      <c r="AB89" s="587"/>
      <c r="AC89" s="587"/>
      <c r="AD89" s="587"/>
      <c r="AE89" s="587"/>
      <c r="AF89" s="587"/>
      <c r="AG89" s="218"/>
      <c r="AH89" s="61"/>
      <c r="AI89" s="587"/>
      <c r="AJ89" s="587"/>
      <c r="AK89" s="587"/>
      <c r="AL89" s="587"/>
      <c r="AM89" s="587"/>
      <c r="AN89" s="587"/>
      <c r="AO89" s="587"/>
      <c r="AP89" s="218"/>
      <c r="AR89" s="587"/>
      <c r="AS89" s="587"/>
      <c r="AT89" s="587"/>
      <c r="AU89" s="587"/>
      <c r="AV89" s="587"/>
      <c r="AW89" s="587"/>
      <c r="AX89" s="587"/>
      <c r="AY89" s="162"/>
      <c r="BA89" s="397"/>
      <c r="BB89" s="397"/>
      <c r="BC89" s="397"/>
      <c r="BD89" s="397"/>
      <c r="BE89" s="397"/>
      <c r="BF89" s="397"/>
      <c r="BG89" s="397"/>
      <c r="BJ89" s="587"/>
      <c r="BK89" s="587"/>
      <c r="BL89" s="587"/>
      <c r="BM89" s="587"/>
      <c r="BN89" s="587"/>
      <c r="BO89" s="587"/>
      <c r="BP89" s="587"/>
      <c r="BQ89" s="197" t="e">
        <f>IF(BQ92=1,"&lt;===", "")</f>
        <v>#REF!</v>
      </c>
      <c r="BR89" s="162"/>
      <c r="BS89" s="162"/>
      <c r="BV89" s="603"/>
      <c r="BW89" s="603"/>
      <c r="BX89" s="603"/>
      <c r="BY89" s="603"/>
      <c r="BZ89" s="603"/>
      <c r="CA89" s="603"/>
      <c r="CB89" s="603"/>
      <c r="CC89" s="603"/>
      <c r="CD89" s="603"/>
      <c r="CE89" s="603"/>
      <c r="CF89" s="197" t="e">
        <f>IF(CF92=1,"&lt;===", "")</f>
        <v>#REF!</v>
      </c>
    </row>
    <row r="90" spans="2:84" ht="57" customHeight="1" x14ac:dyDescent="0.35">
      <c r="B90" s="435" t="s">
        <v>119</v>
      </c>
      <c r="C90" s="436"/>
      <c r="D90" s="437"/>
      <c r="E90" s="20" t="str">
        <f>E63</f>
        <v>Satellite 
# 1:</v>
      </c>
      <c r="F90" s="20" t="str">
        <f t="shared" ref="F90:M90" si="8">F63</f>
        <v/>
      </c>
      <c r="G90" s="20" t="str">
        <f t="shared" si="8"/>
        <v/>
      </c>
      <c r="H90" s="20" t="str">
        <f t="shared" si="8"/>
        <v/>
      </c>
      <c r="I90" s="20" t="str">
        <f t="shared" si="8"/>
        <v/>
      </c>
      <c r="J90" s="20" t="str">
        <f t="shared" si="8"/>
        <v/>
      </c>
      <c r="K90" s="20" t="str">
        <f t="shared" si="8"/>
        <v/>
      </c>
      <c r="L90" s="20" t="str">
        <f t="shared" si="8"/>
        <v/>
      </c>
      <c r="M90" s="20" t="str">
        <f t="shared" si="8"/>
        <v/>
      </c>
      <c r="N90" s="20" t="s">
        <v>12</v>
      </c>
      <c r="Q90" s="586"/>
      <c r="R90" s="586"/>
      <c r="W90" s="167"/>
      <c r="X90" s="197"/>
      <c r="Z90" s="587"/>
      <c r="AA90" s="587"/>
      <c r="AB90" s="587"/>
      <c r="AC90" s="587"/>
      <c r="AD90" s="587"/>
      <c r="AE90" s="587"/>
      <c r="AF90" s="587"/>
      <c r="AG90" s="218"/>
      <c r="AI90" s="587"/>
      <c r="AJ90" s="587"/>
      <c r="AK90" s="587"/>
      <c r="AL90" s="587"/>
      <c r="AM90" s="587"/>
      <c r="AN90" s="587"/>
      <c r="AO90" s="587"/>
      <c r="AP90" s="218"/>
      <c r="AR90" s="587"/>
      <c r="AS90" s="587"/>
      <c r="AT90" s="587"/>
      <c r="AU90" s="587"/>
      <c r="AV90" s="587"/>
      <c r="AW90" s="587"/>
      <c r="AX90" s="587"/>
      <c r="AY90" s="162"/>
      <c r="BA90" s="587"/>
      <c r="BB90" s="587"/>
      <c r="BC90" s="587"/>
      <c r="BD90" s="587"/>
      <c r="BE90" s="587"/>
      <c r="BF90" s="587"/>
      <c r="BG90" s="587"/>
      <c r="BH90" s="197"/>
      <c r="BJ90" s="587"/>
      <c r="BK90" s="587"/>
      <c r="BL90" s="587"/>
      <c r="BM90" s="587"/>
      <c r="BN90" s="587"/>
      <c r="BO90" s="587"/>
      <c r="BP90" s="587"/>
      <c r="BQ90" s="162"/>
      <c r="BR90" s="162"/>
      <c r="BS90" s="162"/>
      <c r="BV90" s="603"/>
      <c r="BW90" s="603"/>
      <c r="BX90" s="603"/>
      <c r="BY90" s="603"/>
      <c r="BZ90" s="603"/>
      <c r="CA90" s="603"/>
      <c r="CB90" s="603"/>
      <c r="CC90" s="603"/>
      <c r="CD90" s="603"/>
      <c r="CE90" s="603"/>
    </row>
    <row r="91" spans="2:84" ht="18" customHeight="1" x14ac:dyDescent="0.35">
      <c r="B91" s="597" t="s">
        <v>14</v>
      </c>
      <c r="C91" s="598"/>
      <c r="D91" s="599"/>
      <c r="E91" s="266" t="str">
        <f t="shared" ref="E91:M91" si="9">IF(ISBLANK(E64),"",E64)</f>
        <v/>
      </c>
      <c r="F91" s="266" t="str">
        <f t="shared" si="9"/>
        <v/>
      </c>
      <c r="G91" s="266" t="str">
        <f t="shared" si="9"/>
        <v/>
      </c>
      <c r="H91" s="266" t="str">
        <f t="shared" si="9"/>
        <v/>
      </c>
      <c r="I91" s="266" t="str">
        <f t="shared" si="9"/>
        <v/>
      </c>
      <c r="J91" s="266" t="str">
        <f t="shared" si="9"/>
        <v/>
      </c>
      <c r="K91" s="266" t="str">
        <f t="shared" si="9"/>
        <v/>
      </c>
      <c r="L91" s="266" t="str">
        <f t="shared" si="9"/>
        <v/>
      </c>
      <c r="M91" s="266" t="str">
        <f t="shared" si="9"/>
        <v/>
      </c>
      <c r="N91" s="50"/>
      <c r="Z91" s="587"/>
      <c r="AA91" s="587"/>
      <c r="AB91" s="587"/>
      <c r="AC91" s="587"/>
      <c r="AD91" s="587"/>
      <c r="AE91" s="587"/>
      <c r="AF91" s="587"/>
      <c r="AR91" s="587"/>
      <c r="AS91" s="587"/>
      <c r="AT91" s="587"/>
      <c r="AU91" s="587"/>
      <c r="AV91" s="587"/>
      <c r="AW91" s="587"/>
      <c r="AX91" s="587"/>
      <c r="BA91" s="587"/>
      <c r="BB91" s="587"/>
      <c r="BC91" s="587"/>
      <c r="BD91" s="587"/>
      <c r="BE91" s="587"/>
      <c r="BF91" s="587"/>
      <c r="BG91" s="587"/>
      <c r="BJ91" s="587"/>
      <c r="BK91" s="587"/>
      <c r="BL91" s="587"/>
      <c r="BM91" s="587"/>
      <c r="BN91" s="587"/>
      <c r="BO91" s="587"/>
      <c r="BP91" s="587"/>
      <c r="BQ91" s="162"/>
      <c r="BR91" s="162"/>
      <c r="BS91" s="162"/>
      <c r="BV91" s="603"/>
      <c r="BW91" s="603"/>
      <c r="BX91" s="603"/>
      <c r="BY91" s="603"/>
      <c r="BZ91" s="603"/>
      <c r="CA91" s="603"/>
      <c r="CB91" s="603"/>
      <c r="CC91" s="603"/>
      <c r="CD91" s="603"/>
      <c r="CE91" s="603"/>
    </row>
    <row r="92" spans="2:84" ht="18" customHeight="1" x14ac:dyDescent="0.35">
      <c r="B92" s="600" t="s">
        <v>11</v>
      </c>
      <c r="C92" s="601"/>
      <c r="D92" s="265"/>
      <c r="E92" s="267" t="str">
        <f t="shared" ref="E92:M92" si="10">IF(ISBLANK(E65),"",E65)</f>
        <v/>
      </c>
      <c r="F92" s="267" t="str">
        <f t="shared" si="10"/>
        <v/>
      </c>
      <c r="G92" s="267" t="str">
        <f t="shared" si="10"/>
        <v/>
      </c>
      <c r="H92" s="267" t="str">
        <f t="shared" si="10"/>
        <v/>
      </c>
      <c r="I92" s="267" t="str">
        <f t="shared" si="10"/>
        <v/>
      </c>
      <c r="J92" s="267" t="str">
        <f t="shared" si="10"/>
        <v/>
      </c>
      <c r="K92" s="267" t="str">
        <f t="shared" si="10"/>
        <v/>
      </c>
      <c r="L92" s="267" t="str">
        <f t="shared" si="10"/>
        <v/>
      </c>
      <c r="M92" s="267" t="str">
        <f t="shared" si="10"/>
        <v/>
      </c>
      <c r="N92" s="93"/>
      <c r="AH92" s="9"/>
      <c r="AI92" s="397"/>
      <c r="AJ92" s="397"/>
      <c r="AK92" s="397"/>
      <c r="AL92" s="397"/>
      <c r="AM92" s="397"/>
      <c r="AN92" s="397"/>
      <c r="AO92" s="397"/>
      <c r="BA92" s="587"/>
      <c r="BB92" s="587"/>
      <c r="BC92" s="587"/>
      <c r="BD92" s="587"/>
      <c r="BE92" s="587"/>
      <c r="BF92" s="587"/>
      <c r="BG92" s="587"/>
      <c r="BH92" s="167"/>
      <c r="BJ92" s="587"/>
      <c r="BK92" s="587"/>
      <c r="BL92" s="587"/>
      <c r="BM92" s="587"/>
      <c r="BN92" s="587"/>
      <c r="BO92" s="587"/>
      <c r="BP92" s="587"/>
      <c r="BQ92" s="167" t="e">
        <f>IF(AND(#REF!="Yes",BJ89="",#REF!&lt;&gt;""),1, "")</f>
        <v>#REF!</v>
      </c>
      <c r="BR92" s="162"/>
      <c r="BS92" s="162"/>
      <c r="BV92" s="603"/>
      <c r="BW92" s="603"/>
      <c r="BX92" s="603"/>
      <c r="BY92" s="603"/>
      <c r="BZ92" s="603"/>
      <c r="CA92" s="603"/>
      <c r="CB92" s="603"/>
      <c r="CC92" s="603"/>
      <c r="CD92" s="603"/>
      <c r="CE92" s="603"/>
      <c r="CF92" s="167" t="e">
        <f>IF(AND(#REF!="Yes",BV89="",#REF!&lt;&gt;""),1, "")</f>
        <v>#REF!</v>
      </c>
    </row>
    <row r="93" spans="2:84" ht="80.25" customHeight="1" x14ac:dyDescent="0.35">
      <c r="B93" s="539" t="s">
        <v>105</v>
      </c>
      <c r="C93" s="540"/>
      <c r="D93" s="540"/>
      <c r="E93" s="94" t="str">
        <f>IF(E$78&lt;&gt;"", E$78,"")</f>
        <v/>
      </c>
      <c r="F93" s="94" t="str">
        <f t="shared" ref="F93:N93" si="11">IF(F$78&lt;&gt;"", F$78,"")</f>
        <v/>
      </c>
      <c r="G93" s="94" t="str">
        <f t="shared" si="11"/>
        <v/>
      </c>
      <c r="H93" s="94" t="str">
        <f t="shared" si="11"/>
        <v/>
      </c>
      <c r="I93" s="94" t="str">
        <f t="shared" si="11"/>
        <v/>
      </c>
      <c r="J93" s="94" t="str">
        <f t="shared" si="11"/>
        <v/>
      </c>
      <c r="K93" s="94" t="str">
        <f t="shared" si="11"/>
        <v/>
      </c>
      <c r="L93" s="94" t="str">
        <f t="shared" si="11"/>
        <v/>
      </c>
      <c r="M93" s="94" t="str">
        <f t="shared" si="11"/>
        <v/>
      </c>
      <c r="N93" s="94" t="str">
        <f t="shared" si="11"/>
        <v/>
      </c>
      <c r="P93" s="167"/>
      <c r="Q93" s="397"/>
      <c r="R93" s="397"/>
      <c r="S93" s="397"/>
      <c r="T93" s="397"/>
      <c r="U93" s="397"/>
      <c r="V93" s="397"/>
      <c r="W93" s="397"/>
      <c r="X93" s="217"/>
      <c r="Y93" s="413"/>
      <c r="Z93" s="397"/>
      <c r="AA93" s="397"/>
      <c r="AB93" s="397"/>
      <c r="AC93" s="397"/>
      <c r="AD93" s="397"/>
      <c r="AE93" s="397"/>
      <c r="AF93" s="397"/>
      <c r="AG93" s="217"/>
      <c r="AH93" s="61"/>
      <c r="AI93" s="397"/>
      <c r="AJ93" s="397"/>
      <c r="AK93" s="397"/>
      <c r="AL93" s="397"/>
      <c r="AM93" s="397"/>
      <c r="AN93" s="397"/>
      <c r="AO93" s="397"/>
      <c r="AP93" s="217"/>
      <c r="AQ93" s="413"/>
      <c r="AR93" s="397"/>
      <c r="AS93" s="397"/>
      <c r="AT93" s="397"/>
      <c r="AU93" s="397"/>
      <c r="AV93" s="397"/>
      <c r="AW93" s="397"/>
      <c r="AX93" s="397"/>
      <c r="AY93" s="221"/>
      <c r="BA93" s="587"/>
      <c r="BB93" s="587"/>
      <c r="BC93" s="587"/>
      <c r="BD93" s="587"/>
      <c r="BE93" s="587"/>
      <c r="BF93" s="587"/>
      <c r="BG93" s="587"/>
      <c r="BJ93" s="587"/>
      <c r="BK93" s="587"/>
      <c r="BL93" s="587"/>
      <c r="BM93" s="587"/>
      <c r="BN93" s="587"/>
      <c r="BO93" s="587"/>
      <c r="BP93" s="587"/>
      <c r="BQ93" s="162"/>
      <c r="BR93" s="162"/>
      <c r="BS93" s="162"/>
      <c r="BV93" s="603"/>
      <c r="BW93" s="603"/>
      <c r="BX93" s="603"/>
      <c r="BY93" s="603"/>
      <c r="BZ93" s="603"/>
      <c r="CA93" s="603"/>
      <c r="CB93" s="603"/>
      <c r="CC93" s="603"/>
      <c r="CD93" s="603"/>
      <c r="CE93" s="603"/>
    </row>
    <row r="94" spans="2:84" ht="48.75" customHeight="1" x14ac:dyDescent="0.35">
      <c r="B94" s="31"/>
      <c r="C94" s="449" t="s">
        <v>121</v>
      </c>
      <c r="D94" s="450"/>
      <c r="E94" s="129"/>
      <c r="F94" s="129"/>
      <c r="G94" s="129"/>
      <c r="H94" s="129"/>
      <c r="I94" s="129"/>
      <c r="J94" s="129"/>
      <c r="K94" s="129"/>
      <c r="L94" s="129"/>
      <c r="M94" s="129"/>
      <c r="N94" s="132" t="str">
        <f>IF(COUNT(E94:M94),SUM(E94:M94),"")</f>
        <v/>
      </c>
      <c r="O94" s="170" t="str">
        <f>IF(P94=1, "&lt;===", "")</f>
        <v/>
      </c>
      <c r="P94" s="167" t="str">
        <f>IF(OR(AND($E$93&lt;&gt;"",$E94="",'2023 Annual Report'!$D$411&lt;&gt;""),AND($F$93&lt;&gt;"",$F94="",'2023 Annual Report'!$D$411&lt;&gt;""),AND($G$93&lt;&gt;"",$G94="",'2023 Annual Report'!$D$411&lt;&gt;""),AND($H$93&lt;&gt;"",$H94="",'2023 Annual Report'!$D$411&lt;&gt;""),AND($I$93&lt;&gt;"",$I94="",'2023 Annual Report'!$D$411&lt;&gt;""),AND($J$93&lt;&gt;"",$J94="",'2023 Annual Report'!$D$411&lt;&gt;""),AND($K$93&lt;&gt;"",$K94="",'2023 Annual Report'!$D$411&lt;&gt;""),AND($L$93&lt;&gt;"",$L94="",'2023 Annual Report'!$D$411&lt;&gt;""),AND($M$93&lt;&gt;"",$M94="",'2023 Annual Report'!$D$411&lt;&gt;"")),1,"")</f>
        <v/>
      </c>
      <c r="Q94" s="397"/>
      <c r="R94" s="397"/>
      <c r="S94" s="397"/>
      <c r="T94" s="397"/>
      <c r="U94" s="397"/>
      <c r="V94" s="397"/>
      <c r="W94" s="397"/>
      <c r="X94" s="217"/>
      <c r="Y94" s="413"/>
      <c r="Z94" s="397"/>
      <c r="AA94" s="397"/>
      <c r="AB94" s="397"/>
      <c r="AC94" s="397"/>
      <c r="AD94" s="397"/>
      <c r="AE94" s="397"/>
      <c r="AF94" s="397"/>
      <c r="AG94" s="217"/>
      <c r="AH94" s="61"/>
      <c r="AI94" s="397"/>
      <c r="AJ94" s="397"/>
      <c r="AK94" s="397"/>
      <c r="AL94" s="397"/>
      <c r="AM94" s="397"/>
      <c r="AN94" s="397"/>
      <c r="AO94" s="397"/>
      <c r="AP94" s="217"/>
      <c r="AQ94" s="413"/>
      <c r="AR94" s="397"/>
      <c r="AS94" s="397"/>
      <c r="AT94" s="397"/>
      <c r="AU94" s="397"/>
      <c r="AV94" s="397"/>
      <c r="AW94" s="397"/>
      <c r="AX94" s="397"/>
      <c r="AY94" s="221"/>
      <c r="BA94" s="587"/>
      <c r="BB94" s="587"/>
      <c r="BC94" s="587"/>
      <c r="BD94" s="587"/>
      <c r="BE94" s="587"/>
      <c r="BF94" s="587"/>
      <c r="BG94" s="587"/>
      <c r="BJ94" s="587"/>
      <c r="BK94" s="587"/>
      <c r="BL94" s="587"/>
      <c r="BM94" s="587"/>
      <c r="BN94" s="587"/>
      <c r="BO94" s="587"/>
      <c r="BP94" s="587"/>
      <c r="BQ94" s="162"/>
      <c r="BR94" s="162"/>
      <c r="BS94" s="162"/>
      <c r="BV94" s="603"/>
      <c r="BW94" s="603"/>
      <c r="BX94" s="603"/>
      <c r="BY94" s="603"/>
      <c r="BZ94" s="603"/>
      <c r="CA94" s="603"/>
      <c r="CB94" s="603"/>
      <c r="CC94" s="603"/>
      <c r="CD94" s="603"/>
      <c r="CE94" s="603"/>
    </row>
    <row r="95" spans="2:84" ht="54" customHeight="1" x14ac:dyDescent="0.35">
      <c r="B95" s="185"/>
      <c r="C95" s="457" t="s">
        <v>123</v>
      </c>
      <c r="D95" s="458"/>
      <c r="E95" s="186"/>
      <c r="F95" s="186"/>
      <c r="G95" s="186"/>
      <c r="H95" s="186"/>
      <c r="I95" s="186"/>
      <c r="J95" s="186"/>
      <c r="K95" s="186"/>
      <c r="L95" s="186"/>
      <c r="M95" s="186"/>
      <c r="N95" s="187" t="str">
        <f>IF(COUNT(E95:M95),SUM(E95:M95),"")</f>
        <v/>
      </c>
      <c r="O95" s="170" t="str">
        <f>IF(P95=1, "&lt;===", "")</f>
        <v/>
      </c>
      <c r="P95" s="167" t="str">
        <f>IF(OR(AND($E$93&lt;&gt;"",$E95="",'2023 Annual Report'!$D$411&lt;&gt;""),AND($F$93&lt;&gt;"",$F95="",'2023 Annual Report'!$D$411&lt;&gt;""),AND($G$93&lt;&gt;"",$G95="",'2023 Annual Report'!$D$411&lt;&gt;""),AND($H$93&lt;&gt;"",$H95="",'2023 Annual Report'!$D$411&lt;&gt;""),AND($I$93&lt;&gt;"",$I95="",'2023 Annual Report'!$D$411&lt;&gt;""),AND($J$93&lt;&gt;"",$J95="",'2023 Annual Report'!$D$411&lt;&gt;""),AND($K$93&lt;&gt;"",$K95="",'2023 Annual Report'!$D$411&lt;&gt;""),AND($L$93&lt;&gt;"",$L95="",'2023 Annual Report'!$D$411&lt;&gt;""),AND($M$93&lt;&gt;"",$M95="",'2023 Annual Report'!$D$411&lt;&gt;"")),1,"")</f>
        <v/>
      </c>
      <c r="Q95" s="586"/>
      <c r="R95" s="586"/>
      <c r="W95" s="167"/>
      <c r="X95" s="197"/>
      <c r="Z95" s="586"/>
      <c r="AA95" s="586"/>
      <c r="AB95" s="5"/>
      <c r="AC95" s="5"/>
      <c r="AD95" s="5"/>
      <c r="AE95" s="5"/>
      <c r="AF95" s="167"/>
      <c r="AG95" s="197"/>
      <c r="AI95" s="586"/>
      <c r="AJ95" s="586"/>
      <c r="AO95" s="167"/>
      <c r="AP95" s="197"/>
      <c r="AR95" s="586"/>
      <c r="AS95" s="586"/>
      <c r="AX95" s="167"/>
      <c r="AY95" s="197"/>
      <c r="BA95" s="587"/>
      <c r="BB95" s="587"/>
      <c r="BC95" s="587"/>
      <c r="BD95" s="587"/>
      <c r="BE95" s="587"/>
      <c r="BF95" s="587"/>
      <c r="BG95" s="587"/>
      <c r="BJ95" s="587"/>
      <c r="BK95" s="587"/>
      <c r="BL95" s="587"/>
      <c r="BM95" s="587"/>
      <c r="BN95" s="587"/>
      <c r="BO95" s="587"/>
      <c r="BP95" s="587"/>
      <c r="BQ95" s="162"/>
      <c r="BR95" s="162"/>
      <c r="BS95" s="162"/>
    </row>
    <row r="96" spans="2:84" ht="52.5" customHeight="1" x14ac:dyDescent="0.35">
      <c r="B96" s="184"/>
      <c r="C96" s="371" t="s">
        <v>122</v>
      </c>
      <c r="D96" s="372"/>
      <c r="E96" s="182"/>
      <c r="F96" s="182"/>
      <c r="G96" s="182"/>
      <c r="H96" s="182"/>
      <c r="I96" s="182"/>
      <c r="J96" s="182"/>
      <c r="K96" s="182"/>
      <c r="L96" s="182"/>
      <c r="M96" s="182"/>
      <c r="N96" s="183" t="str">
        <f>IF(COUNT(E96:M96),SUM(E96:M96),"")</f>
        <v/>
      </c>
      <c r="O96" s="170" t="str">
        <f>IF(P96=1, "&lt;===", "")</f>
        <v/>
      </c>
      <c r="P96" s="167" t="str">
        <f>IF(OR(AND($E$93&lt;&gt;"",$E96="",'2023 Annual Report'!$D$411&lt;&gt;""),AND($F$93&lt;&gt;"",$F96="",'2023 Annual Report'!$D$411&lt;&gt;""),AND($G$93&lt;&gt;"",$G96="",'2023 Annual Report'!$D$411&lt;&gt;""),AND($H$93&lt;&gt;"",$H96="",'2023 Annual Report'!$D$411&lt;&gt;""),AND($I$93&lt;&gt;"",$I96="",'2023 Annual Report'!$D$411&lt;&gt;""),AND($J$93&lt;&gt;"",$J96="",'2023 Annual Report'!$D$411&lt;&gt;""),AND($K$93&lt;&gt;"",$K96="",'2023 Annual Report'!$D$411&lt;&gt;""),AND($L$93&lt;&gt;"",$L96="",'2023 Annual Report'!$D$411&lt;&gt;""),AND($M$93&lt;&gt;"",$M96="",'2023 Annual Report'!$D$411&lt;&gt;"")),1,"")</f>
        <v/>
      </c>
      <c r="Z96" s="5"/>
      <c r="AA96" s="5"/>
      <c r="AB96" s="5"/>
      <c r="AC96" s="5"/>
      <c r="AD96" s="5"/>
      <c r="AE96" s="5"/>
      <c r="AF96" s="5"/>
      <c r="AG96" s="5"/>
      <c r="BA96" s="587"/>
      <c r="BB96" s="587"/>
      <c r="BC96" s="587"/>
      <c r="BD96" s="587"/>
      <c r="BE96" s="587"/>
      <c r="BF96" s="587"/>
      <c r="BG96" s="587"/>
      <c r="BJ96" s="587"/>
      <c r="BK96" s="587"/>
      <c r="BL96" s="587"/>
      <c r="BM96" s="587"/>
      <c r="BN96" s="587"/>
      <c r="BO96" s="587"/>
      <c r="BP96" s="587"/>
      <c r="BQ96" s="162"/>
      <c r="BR96" s="162"/>
      <c r="BS96" s="162"/>
      <c r="BU96" s="189" t="e">
        <f>IF(#REF!&lt;&gt;"","12)","")</f>
        <v>#REF!</v>
      </c>
      <c r="BV96" s="412" t="e">
        <f>IF(#REF!&lt;&gt;"","After analyzing the preceding areas, what is the program's action plan for the next year?","")</f>
        <v>#REF!</v>
      </c>
      <c r="BW96" s="412"/>
      <c r="BX96" s="412"/>
      <c r="BY96" s="412"/>
      <c r="BZ96" s="412"/>
      <c r="CA96" s="412"/>
      <c r="CB96" s="412"/>
      <c r="CC96" s="412"/>
      <c r="CD96" s="412"/>
      <c r="CE96" s="412"/>
    </row>
    <row r="97" spans="1:84" ht="33" customHeight="1" x14ac:dyDescent="0.35">
      <c r="B97" s="356" t="str">
        <f>"Satellite Total Passing in " &amp;D4</f>
        <v>Satellite Total Passing in 2023</v>
      </c>
      <c r="C97" s="357"/>
      <c r="D97" s="19"/>
      <c r="E97" s="56" t="str">
        <f>IF(AND(E$93&lt;&gt;"",E$94&lt;&gt;"",E$95&lt;&gt;"",E$96&lt;&gt;""),E$96,"")</f>
        <v/>
      </c>
      <c r="F97" s="56" t="str">
        <f t="shared" ref="F97:M97" si="12">IF(AND(F$93&lt;&gt;"",F$94&lt;&gt;"",F$95&lt;&gt;"",F$96&lt;&gt;""),F$96,"")</f>
        <v/>
      </c>
      <c r="G97" s="56" t="str">
        <f t="shared" si="12"/>
        <v/>
      </c>
      <c r="H97" s="56" t="str">
        <f t="shared" si="12"/>
        <v/>
      </c>
      <c r="I97" s="56" t="str">
        <f t="shared" si="12"/>
        <v/>
      </c>
      <c r="J97" s="56" t="str">
        <f t="shared" si="12"/>
        <v/>
      </c>
      <c r="K97" s="56" t="str">
        <f t="shared" si="12"/>
        <v/>
      </c>
      <c r="L97" s="56" t="str">
        <f t="shared" si="12"/>
        <v/>
      </c>
      <c r="M97" s="56" t="str">
        <f t="shared" si="12"/>
        <v/>
      </c>
      <c r="N97" s="56" t="str">
        <f>IF(COUNT(E97:M97),SUM(E97:M97),"")</f>
        <v/>
      </c>
      <c r="Q97" s="397"/>
      <c r="R97" s="397"/>
      <c r="S97" s="397"/>
      <c r="T97" s="397"/>
      <c r="U97" s="397"/>
      <c r="V97" s="397"/>
      <c r="W97" s="397"/>
      <c r="X97" s="217"/>
      <c r="Y97" s="61"/>
      <c r="Z97" s="397"/>
      <c r="AA97" s="397"/>
      <c r="AB97" s="397"/>
      <c r="AC97" s="397"/>
      <c r="AD97" s="397"/>
      <c r="AE97" s="397"/>
      <c r="AF97" s="397"/>
      <c r="AG97" s="217"/>
      <c r="AI97" s="397"/>
      <c r="AJ97" s="397"/>
      <c r="AK97" s="397"/>
      <c r="AL97" s="397"/>
      <c r="AM97" s="397"/>
      <c r="AN97" s="397"/>
      <c r="AO97" s="397"/>
      <c r="AP97" s="217"/>
      <c r="AR97" s="397"/>
      <c r="AS97" s="397"/>
      <c r="AT97" s="397"/>
      <c r="AU97" s="397"/>
      <c r="AV97" s="397"/>
      <c r="AW97" s="397"/>
      <c r="AX97" s="397"/>
      <c r="AY97" s="217"/>
      <c r="BA97" s="587"/>
      <c r="BB97" s="587"/>
      <c r="BC97" s="587"/>
      <c r="BD97" s="587"/>
      <c r="BE97" s="587"/>
      <c r="BF97" s="587"/>
      <c r="BG97" s="587"/>
      <c r="BJ97" s="587"/>
      <c r="BK97" s="587"/>
      <c r="BL97" s="587"/>
      <c r="BM97" s="587"/>
      <c r="BN97" s="587"/>
      <c r="BO97" s="587"/>
      <c r="BP97" s="587"/>
      <c r="BQ97" s="162"/>
      <c r="BR97" s="162"/>
      <c r="BS97" s="162"/>
      <c r="BV97" s="587"/>
      <c r="BW97" s="587"/>
      <c r="BX97" s="587"/>
      <c r="BY97" s="587"/>
      <c r="BZ97" s="587"/>
      <c r="CA97" s="587"/>
      <c r="CB97" s="587"/>
      <c r="CC97" s="587"/>
      <c r="CD97" s="587"/>
      <c r="CE97" s="587"/>
      <c r="CF97" s="197" t="e">
        <f>IF(CF98=1,"&lt;===", "")</f>
        <v>#REF!</v>
      </c>
    </row>
    <row r="98" spans="1:84" ht="45.75" customHeight="1" x14ac:dyDescent="0.35">
      <c r="B98" s="366" t="s">
        <v>104</v>
      </c>
      <c r="C98" s="367"/>
      <c r="D98" s="368"/>
      <c r="E98" s="149" t="str">
        <f>IF(E$93="","",IFERROR(E$97/E$94,0))</f>
        <v/>
      </c>
      <c r="F98" s="149" t="str">
        <f t="shared" ref="F98:M98" si="13">IF(F$93="","",IFERROR(F$97/F$94,0))</f>
        <v/>
      </c>
      <c r="G98" s="149" t="str">
        <f t="shared" si="13"/>
        <v/>
      </c>
      <c r="H98" s="149" t="str">
        <f t="shared" si="13"/>
        <v/>
      </c>
      <c r="I98" s="149" t="str">
        <f t="shared" si="13"/>
        <v/>
      </c>
      <c r="J98" s="149" t="str">
        <f t="shared" si="13"/>
        <v/>
      </c>
      <c r="K98" s="149" t="str">
        <f t="shared" si="13"/>
        <v/>
      </c>
      <c r="L98" s="149" t="str">
        <f t="shared" si="13"/>
        <v/>
      </c>
      <c r="M98" s="149" t="str">
        <f t="shared" si="13"/>
        <v/>
      </c>
      <c r="N98" s="150">
        <f>IF(AND(N66&lt;&gt;"",N94&lt;&gt;"",N97&lt;&gt;""),N97/N94,0)</f>
        <v>0</v>
      </c>
      <c r="O98" s="175"/>
      <c r="P98" s="167"/>
      <c r="Q98" s="587"/>
      <c r="R98" s="587"/>
      <c r="S98" s="587"/>
      <c r="T98" s="587"/>
      <c r="U98" s="587"/>
      <c r="V98" s="587"/>
      <c r="W98" s="587"/>
      <c r="X98" s="201"/>
      <c r="Z98" s="587"/>
      <c r="AA98" s="587"/>
      <c r="AB98" s="587"/>
      <c r="AC98" s="587"/>
      <c r="AD98" s="587"/>
      <c r="AE98" s="587"/>
      <c r="AF98" s="587"/>
      <c r="AG98" s="201"/>
      <c r="AI98" s="587"/>
      <c r="AJ98" s="587"/>
      <c r="AK98" s="587"/>
      <c r="AL98" s="587"/>
      <c r="AM98" s="587"/>
      <c r="AN98" s="587"/>
      <c r="AO98" s="587"/>
      <c r="AP98" s="197"/>
      <c r="AR98" s="587"/>
      <c r="AS98" s="587"/>
      <c r="AT98" s="587"/>
      <c r="AU98" s="587"/>
      <c r="AV98" s="587"/>
      <c r="AW98" s="587"/>
      <c r="AX98" s="587"/>
      <c r="AY98" s="197"/>
      <c r="BA98" s="587"/>
      <c r="BB98" s="587"/>
      <c r="BC98" s="587"/>
      <c r="BD98" s="587"/>
      <c r="BE98" s="587"/>
      <c r="BF98" s="587"/>
      <c r="BG98" s="587"/>
      <c r="BI98" s="61"/>
      <c r="BJ98" s="587"/>
      <c r="BK98" s="587"/>
      <c r="BL98" s="587"/>
      <c r="BM98" s="587"/>
      <c r="BN98" s="587"/>
      <c r="BO98" s="587"/>
      <c r="BP98" s="587"/>
      <c r="BQ98" s="162"/>
      <c r="BR98" s="162"/>
      <c r="BS98" s="162"/>
      <c r="BV98" s="587"/>
      <c r="BW98" s="587"/>
      <c r="BX98" s="587"/>
      <c r="BY98" s="587"/>
      <c r="BZ98" s="587"/>
      <c r="CA98" s="587"/>
      <c r="CB98" s="587"/>
      <c r="CC98" s="587"/>
      <c r="CD98" s="587"/>
      <c r="CE98" s="587"/>
      <c r="CF98" s="167" t="e">
        <f>IF(AND(#REF!&lt;&gt;"",BV97="",#REF!&lt;&gt;""),1, "")</f>
        <v>#REF!</v>
      </c>
    </row>
    <row r="99" spans="1:84" ht="91.5" customHeight="1" x14ac:dyDescent="0.35">
      <c r="B99" s="589" t="str">
        <f>IF(OR(AND(N97&lt;&gt;"",N98&lt;0.7,N93&lt;&gt;"",N95&lt;&gt;"",N94&lt;&gt;"",N96&lt;&gt;"",N98&lt;&gt;"",B100=""),AND(N98&gt;=0.7,N94&lt;&gt;"",N95&lt;&gt;"",N96&lt;&gt;"",N97&lt;&gt;"",N98&lt;=100%,B100="")),"This table is finished.  
The overall results for this outcome are calculated on the "&amp;D4&amp;" Annual Report tab.  
Please complete the next table below.","")</f>
        <v/>
      </c>
      <c r="C99" s="590"/>
      <c r="D99" s="590"/>
      <c r="E99" s="590"/>
      <c r="F99" s="590"/>
      <c r="G99" s="590"/>
      <c r="H99" s="590"/>
      <c r="I99" s="590"/>
      <c r="J99" s="590"/>
      <c r="K99" s="590"/>
      <c r="L99" s="590"/>
      <c r="M99" s="590"/>
      <c r="N99" s="591"/>
      <c r="Q99" s="587"/>
      <c r="R99" s="587"/>
      <c r="S99" s="587"/>
      <c r="T99" s="587"/>
      <c r="U99" s="587"/>
      <c r="V99" s="587"/>
      <c r="W99" s="587"/>
      <c r="X99" s="204"/>
      <c r="Z99" s="587"/>
      <c r="AA99" s="587"/>
      <c r="AB99" s="587"/>
      <c r="AC99" s="587"/>
      <c r="AD99" s="587"/>
      <c r="AE99" s="587"/>
      <c r="AF99" s="587"/>
      <c r="AG99" s="204"/>
      <c r="AI99" s="587"/>
      <c r="AJ99" s="587"/>
      <c r="AK99" s="587"/>
      <c r="AL99" s="587"/>
      <c r="AM99" s="587"/>
      <c r="AN99" s="587"/>
      <c r="AO99" s="587"/>
      <c r="AP99" s="167"/>
      <c r="AR99" s="587"/>
      <c r="AS99" s="587"/>
      <c r="AT99" s="587"/>
      <c r="AU99" s="587"/>
      <c r="AV99" s="587"/>
      <c r="AW99" s="587"/>
      <c r="AX99" s="587"/>
      <c r="AY99" s="167"/>
      <c r="BA99" s="587"/>
      <c r="BB99" s="587"/>
      <c r="BC99" s="587"/>
      <c r="BD99" s="587"/>
      <c r="BE99" s="587"/>
      <c r="BF99" s="587"/>
      <c r="BG99" s="587"/>
      <c r="BJ99" s="587"/>
      <c r="BK99" s="587"/>
      <c r="BL99" s="587"/>
      <c r="BM99" s="587"/>
      <c r="BN99" s="587"/>
      <c r="BO99" s="587"/>
      <c r="BP99" s="587"/>
      <c r="BQ99" s="162"/>
      <c r="BR99" s="162"/>
      <c r="BS99" s="162"/>
      <c r="BV99" s="587"/>
      <c r="BW99" s="587"/>
      <c r="BX99" s="587"/>
      <c r="BY99" s="587"/>
      <c r="BZ99" s="587"/>
      <c r="CA99" s="587"/>
      <c r="CB99" s="587"/>
      <c r="CC99" s="587"/>
      <c r="CD99" s="587"/>
      <c r="CE99" s="587"/>
    </row>
    <row r="100" spans="1:84" ht="52.5" customHeight="1" x14ac:dyDescent="0.35">
      <c r="B100" s="443" t="str">
        <f>IF(OR(AND(E95&gt;E96,E95&lt;&gt;"",E96&lt;&gt;""),AND(F95&gt;F96,F95&lt;&gt;"",F96&lt;&gt;""),AND(G95&gt;G96,G95&lt;&gt;"",G96&lt;&gt;""),AND(H95&gt;H96,H95&lt;&gt;"",H96&lt;&gt;""),AND(I95&gt;I96,I95&lt;&gt;"",I96&lt;&gt;""),AND(J95&gt;J96,J95&lt;&gt;"",J96&lt;&gt;""),AND(K95&gt;K96,K95&lt;&gt;"",K96&lt;&gt;""),AND(L95&gt;L96,L95&lt;&gt;"",L96&lt;&gt;""),AND(M95&gt;M96,M95&lt;&gt;"",M96&lt;&gt;"")),"Error has occurred; The 3rd attempt cumulative pass rate number cannot be less than the first attempt number",IF(OR(AND(E93&lt;E94,E95&lt;&gt;"",E96&lt;&gt;""),AND(F93&lt;F94,F95&lt;&gt;"",F96&lt;&gt;""),AND(G93&lt;G94,G95&lt;&gt;"",G96&lt;&gt;""),AND(H93&lt;H94,H95&lt;&gt;"",H96&lt;&gt;""),AND(I93&lt;I94,I95&lt;&gt;"",I96&lt;&gt;""),AND(J93&lt;J94,J95&lt;&gt;"",J96&lt;&gt;""),AND(K93&lt;K94,K95&lt;&gt;"",K96&lt;&gt;""),AND(L93&lt;L94,L95&lt;&gt;"",L96&lt;&gt;""),AND(M93&lt;M94,M95&lt;&gt;"",M96&lt;&gt;"")),"Error has occurred; The number of graduates attempting 
cannot be more than the total graduates in the reporting year",IF(OR(AND(E96&gt;E94,E95&lt;&gt;"",E96&lt;&gt;""),AND(F96&gt;F94,F95&lt;&gt;"",F96&lt;&gt;""),AND(G96&gt;G94,G95&lt;&gt;"",G96&lt;&gt;""),AND(H96&gt;H94,H95&lt;&gt;"",H96&lt;&gt;""),AND(I96&gt;I94,I95&lt;&gt;"",I96&lt;&gt;""),AND(J96&gt;J94,J95&lt;&gt;"",J96&lt;&gt;""),AND(K96&gt;K94,K95&lt;&gt;"",K96&lt;&gt;""),AND(L96&gt;L94,L95&lt;&gt;"",L96&lt;&gt;""),AND(M96&gt;M94,M95&lt;&gt;"",M96&lt;&gt;"")),"Error has occurred; The 3rd attempt cumulative pass rate number cannot be more than 
the number of graduates attempting the certification examination or state license",IF(OR(AND(E93&lt;&gt;"",E97="",E98=0),AND(F93&lt;&gt;"",F97="",F98=0),AND(G93&lt;&gt;"",G97="",G98=0),AND(H93&lt;&gt;"",H97="",H98=0),AND(I93&lt;&gt;"",I97="",I98=0),AND(J93&lt;&gt;"",J97="",J98=0),AND(K93&lt;&gt;"",K97="",K98=0),AND(L93&lt;&gt;"",L97="",L98=0),AND(M93&lt;&gt;"",M97="",M98=0)),"Please Note: An empty or blank cell is not the same as a zero.",""))))</f>
        <v/>
      </c>
      <c r="C100" s="443"/>
      <c r="D100" s="443"/>
      <c r="E100" s="443"/>
      <c r="F100" s="443"/>
      <c r="G100" s="443"/>
      <c r="H100" s="443"/>
      <c r="I100" s="443"/>
      <c r="J100" s="443"/>
      <c r="K100" s="443"/>
      <c r="L100" s="443"/>
      <c r="M100" s="443"/>
      <c r="N100" s="443"/>
      <c r="P100" s="259"/>
      <c r="Q100" s="587"/>
      <c r="R100" s="587"/>
      <c r="S100" s="587"/>
      <c r="T100" s="587"/>
      <c r="U100" s="587"/>
      <c r="V100" s="587"/>
      <c r="W100" s="587"/>
      <c r="X100" s="218"/>
      <c r="Z100" s="587"/>
      <c r="AA100" s="587"/>
      <c r="AB100" s="587"/>
      <c r="AC100" s="587"/>
      <c r="AD100" s="587"/>
      <c r="AE100" s="587"/>
      <c r="AF100" s="587"/>
      <c r="AG100" s="218"/>
      <c r="AI100" s="587"/>
      <c r="AJ100" s="587"/>
      <c r="AK100" s="587"/>
      <c r="AL100" s="587"/>
      <c r="AM100" s="587"/>
      <c r="AN100" s="587"/>
      <c r="AO100" s="587"/>
      <c r="AP100" s="162"/>
      <c r="AR100" s="587"/>
      <c r="AS100" s="587"/>
      <c r="AT100" s="587"/>
      <c r="AU100" s="587"/>
      <c r="AV100" s="587"/>
      <c r="AW100" s="587"/>
      <c r="AX100" s="587"/>
      <c r="AY100" s="162"/>
      <c r="BA100" s="587"/>
      <c r="BB100" s="587"/>
      <c r="BC100" s="587"/>
      <c r="BD100" s="587"/>
      <c r="BE100" s="587"/>
      <c r="BF100" s="587"/>
      <c r="BG100" s="587"/>
      <c r="BJ100" s="587"/>
      <c r="BK100" s="587"/>
      <c r="BL100" s="587"/>
      <c r="BM100" s="587"/>
      <c r="BN100" s="587"/>
      <c r="BO100" s="587"/>
      <c r="BP100" s="587"/>
      <c r="BQ100" s="162"/>
      <c r="BR100" s="162"/>
      <c r="BS100" s="162"/>
      <c r="BV100" s="587"/>
      <c r="BW100" s="587"/>
      <c r="BX100" s="587"/>
      <c r="BY100" s="587"/>
      <c r="BZ100" s="587"/>
      <c r="CA100" s="587"/>
      <c r="CB100" s="587"/>
      <c r="CC100" s="587"/>
      <c r="CD100" s="587"/>
      <c r="CE100" s="587"/>
    </row>
    <row r="101" spans="1:84" x14ac:dyDescent="0.35">
      <c r="A101" s="159"/>
      <c r="Q101" s="587"/>
      <c r="R101" s="587"/>
      <c r="S101" s="587"/>
      <c r="T101" s="587"/>
      <c r="U101" s="587"/>
      <c r="V101" s="587"/>
      <c r="W101" s="587"/>
      <c r="Z101" s="587"/>
      <c r="AA101" s="587"/>
      <c r="AB101" s="587"/>
      <c r="AC101" s="587"/>
      <c r="AD101" s="587"/>
      <c r="AE101" s="587"/>
      <c r="AF101" s="587"/>
      <c r="AI101" s="587"/>
      <c r="AJ101" s="587"/>
      <c r="AK101" s="587"/>
      <c r="AL101" s="587"/>
      <c r="AM101" s="587"/>
      <c r="AN101" s="587"/>
      <c r="AO101" s="587"/>
      <c r="AR101" s="587"/>
      <c r="AS101" s="587"/>
      <c r="AT101" s="587"/>
      <c r="AU101" s="587"/>
      <c r="AV101" s="587"/>
      <c r="AW101" s="587"/>
      <c r="AX101" s="587"/>
      <c r="BA101" s="587"/>
      <c r="BB101" s="587"/>
      <c r="BC101" s="587"/>
      <c r="BD101" s="587"/>
      <c r="BE101" s="587"/>
      <c r="BF101" s="587"/>
      <c r="BG101" s="587"/>
      <c r="BJ101" s="587"/>
      <c r="BK101" s="587"/>
      <c r="BL101" s="587"/>
      <c r="BM101" s="587"/>
      <c r="BN101" s="587"/>
      <c r="BO101" s="587"/>
      <c r="BP101" s="587"/>
    </row>
    <row r="102" spans="1:84" ht="101.25" customHeight="1" x14ac:dyDescent="0.35">
      <c r="B102" s="444" t="s">
        <v>120</v>
      </c>
      <c r="C102" s="445"/>
      <c r="D102" s="445"/>
      <c r="E102" s="445"/>
      <c r="F102" s="445"/>
      <c r="G102" s="445"/>
      <c r="H102" s="445"/>
      <c r="I102" s="445"/>
      <c r="J102" s="445"/>
      <c r="K102" s="445"/>
      <c r="L102" s="445"/>
      <c r="M102" s="445"/>
      <c r="N102" s="446"/>
      <c r="Q102" s="587"/>
      <c r="R102" s="587"/>
      <c r="S102" s="587"/>
      <c r="T102" s="587"/>
      <c r="U102" s="587"/>
      <c r="V102" s="587"/>
      <c r="W102" s="587"/>
      <c r="Z102" s="587"/>
      <c r="AA102" s="587"/>
      <c r="AB102" s="587"/>
      <c r="AC102" s="587"/>
      <c r="AD102" s="587"/>
      <c r="AE102" s="587"/>
      <c r="AF102" s="587"/>
      <c r="AI102" s="587"/>
      <c r="AJ102" s="587"/>
      <c r="AK102" s="587"/>
      <c r="AL102" s="587"/>
      <c r="AM102" s="587"/>
      <c r="AN102" s="587"/>
      <c r="AO102" s="587"/>
      <c r="AR102" s="587"/>
      <c r="AS102" s="587"/>
      <c r="AT102" s="587"/>
      <c r="AU102" s="587"/>
      <c r="AV102" s="587"/>
      <c r="AW102" s="587"/>
      <c r="AX102" s="587"/>
      <c r="BA102" s="587"/>
      <c r="BB102" s="587"/>
      <c r="BC102" s="587"/>
      <c r="BD102" s="587"/>
      <c r="BE102" s="587"/>
      <c r="BF102" s="587"/>
      <c r="BG102" s="587"/>
      <c r="BJ102" s="587"/>
      <c r="BK102" s="587"/>
      <c r="BL102" s="587"/>
      <c r="BM102" s="587"/>
      <c r="BN102" s="587"/>
      <c r="BO102" s="587"/>
      <c r="BP102" s="587"/>
    </row>
    <row r="103" spans="1:84" x14ac:dyDescent="0.35">
      <c r="B103" s="359"/>
      <c r="C103" s="359"/>
    </row>
    <row r="104" spans="1:84" x14ac:dyDescent="0.35">
      <c r="B104" s="359"/>
      <c r="C104" s="359"/>
    </row>
    <row r="105" spans="1:84" ht="15" customHeight="1" x14ac:dyDescent="0.35">
      <c r="Q105" s="156"/>
      <c r="BM105" s="604" t="str">
        <f>IF(P109&lt;&gt;"", "&lt;== Once the analysis and action plan questions 
        have been completed, CLICK HERE to proceed
        to the next section or scroll back", "")</f>
        <v/>
      </c>
      <c r="BN105" s="604"/>
      <c r="BO105" s="604"/>
      <c r="BP105" s="604"/>
      <c r="BQ105" s="604"/>
    </row>
    <row r="106" spans="1:84" ht="15" customHeight="1" x14ac:dyDescent="0.35">
      <c r="Q106" s="156"/>
      <c r="BM106" s="604"/>
      <c r="BN106" s="604"/>
      <c r="BO106" s="604"/>
      <c r="BP106" s="604"/>
      <c r="BQ106" s="604"/>
      <c r="BR106" s="180"/>
      <c r="CB106" s="181"/>
      <c r="CC106" s="181"/>
      <c r="CD106" s="181"/>
      <c r="CE106" s="181"/>
      <c r="CF106" s="181"/>
    </row>
    <row r="107" spans="1:84" ht="15" customHeight="1" x14ac:dyDescent="0.35">
      <c r="B107" s="14"/>
      <c r="C107" s="15">
        <f>$D$17</f>
        <v>600000</v>
      </c>
      <c r="D107" s="402" t="str">
        <f>$D$19</f>
        <v>Accordance Community College</v>
      </c>
      <c r="E107" s="402"/>
      <c r="F107" s="402"/>
      <c r="G107" s="402"/>
      <c r="H107" s="402"/>
      <c r="I107" s="402"/>
      <c r="J107" s="402"/>
      <c r="K107" s="402"/>
      <c r="P107" s="373" t="str">
        <f>IF(P109&lt;&gt;"",$D$17,"")</f>
        <v/>
      </c>
      <c r="Q107" s="373"/>
      <c r="R107" s="422" t="str">
        <f>IF(P109&lt;&gt;"",$D$19,"")</f>
        <v/>
      </c>
      <c r="S107" s="422"/>
      <c r="T107" s="422"/>
      <c r="U107" s="422"/>
      <c r="V107" s="422"/>
      <c r="W107" s="422"/>
      <c r="X107" s="422"/>
      <c r="Y107" s="422"/>
      <c r="Z107" s="422"/>
      <c r="AA107" s="422"/>
      <c r="AI107" s="373" t="str">
        <f>IF(P109&lt;&gt;"",$D$17,"")</f>
        <v/>
      </c>
      <c r="AJ107" s="373"/>
      <c r="AK107" s="422" t="str">
        <f>IF(P109&lt;&gt;"",$D$19,"")</f>
        <v/>
      </c>
      <c r="AL107" s="422"/>
      <c r="AM107" s="422"/>
      <c r="AN107" s="422"/>
      <c r="AO107" s="422"/>
      <c r="AP107" s="422"/>
      <c r="AQ107" s="422"/>
      <c r="AR107" s="422"/>
      <c r="AS107" s="422"/>
      <c r="AT107" s="422"/>
      <c r="BA107" s="373" t="str">
        <f>IF(P109&lt;&gt;"",$D$17,"")</f>
        <v/>
      </c>
      <c r="BB107" s="373"/>
      <c r="BC107" s="422" t="str">
        <f>IF(P109&lt;&gt;"",$D$19,"")</f>
        <v/>
      </c>
      <c r="BD107" s="422"/>
      <c r="BE107" s="422"/>
      <c r="BF107" s="422"/>
      <c r="BG107" s="422"/>
      <c r="BH107" s="422"/>
      <c r="BI107" s="422"/>
      <c r="BJ107" s="422"/>
      <c r="BK107" s="422"/>
      <c r="BL107" s="422"/>
      <c r="BM107" s="604"/>
      <c r="BN107" s="604"/>
      <c r="BO107" s="604"/>
      <c r="BP107" s="604"/>
      <c r="BQ107" s="604"/>
      <c r="BT107" s="373"/>
      <c r="BU107" s="373"/>
      <c r="BV107" s="422"/>
      <c r="BW107" s="422"/>
      <c r="BX107" s="422"/>
      <c r="BY107" s="422"/>
      <c r="BZ107" s="422"/>
      <c r="CA107" s="181"/>
      <c r="CB107" s="181"/>
      <c r="CC107" s="181"/>
      <c r="CD107" s="181"/>
      <c r="CE107" s="181"/>
    </row>
    <row r="108" spans="1:84" x14ac:dyDescent="0.35">
      <c r="B108" s="359"/>
      <c r="C108" s="359"/>
      <c r="R108" s="422" t="str">
        <f>IF(P109&lt;&gt;"","Positive (Job) Placement","")</f>
        <v/>
      </c>
      <c r="S108" s="422"/>
      <c r="T108" s="422"/>
      <c r="U108" s="422"/>
      <c r="V108" s="422"/>
      <c r="AK108" s="422" t="str">
        <f>IF(P109&lt;&gt;"","Positive (Job) Placement","")</f>
        <v/>
      </c>
      <c r="AL108" s="422"/>
      <c r="AM108" s="422"/>
      <c r="AN108" s="422"/>
      <c r="AO108" s="422"/>
      <c r="BC108" s="422" t="str">
        <f>IF(P109&lt;&gt;"","Positive (Job) Placement","")</f>
        <v/>
      </c>
      <c r="BD108" s="422"/>
      <c r="BE108" s="422"/>
      <c r="BF108" s="422"/>
      <c r="BG108" s="422"/>
      <c r="BM108" s="180"/>
      <c r="BN108" s="180"/>
      <c r="BO108" s="180"/>
      <c r="BP108" s="180"/>
      <c r="BQ108" s="180"/>
      <c r="BV108" s="422"/>
      <c r="BW108" s="422"/>
      <c r="BX108" s="422"/>
      <c r="BY108" s="422"/>
      <c r="BZ108" s="422"/>
      <c r="CA108" s="181"/>
      <c r="CB108" s="181"/>
      <c r="CC108" s="181"/>
      <c r="CD108" s="181"/>
      <c r="CE108" s="181"/>
    </row>
    <row r="109" spans="1:84" ht="18.75" customHeight="1" x14ac:dyDescent="0.35">
      <c r="B109" s="36"/>
      <c r="C109" s="36"/>
      <c r="D109" s="36"/>
      <c r="E109" s="36"/>
      <c r="F109" s="36"/>
      <c r="G109" s="220"/>
      <c r="H109" s="220"/>
      <c r="P109" s="423" t="str">
        <f>IF(AND(B121="The outcome threshold of 70% has not been met.  
Please continue to scroll to the right and complete ALL required questions ==&gt;",B122=""),"1)","")</f>
        <v/>
      </c>
      <c r="Q109" s="421"/>
      <c r="R109" s="421"/>
      <c r="S109" s="421"/>
      <c r="T109" s="421"/>
      <c r="U109" s="421"/>
      <c r="V109" s="421"/>
      <c r="W109" s="421"/>
      <c r="X109" s="155"/>
      <c r="Y109" s="414"/>
      <c r="Z109" s="421"/>
      <c r="AA109" s="421"/>
      <c r="AB109" s="421"/>
      <c r="AC109" s="421"/>
      <c r="AD109" s="421"/>
      <c r="AE109" s="421"/>
      <c r="AF109" s="421"/>
      <c r="AG109" s="190"/>
      <c r="AI109" s="421"/>
      <c r="AJ109" s="421"/>
      <c r="AK109" s="421"/>
      <c r="AL109" s="421"/>
      <c r="AM109" s="421"/>
      <c r="AN109" s="421"/>
      <c r="AO109" s="421"/>
      <c r="AQ109" s="414" t="str">
        <f>IF(P109&lt;&gt;"","5)","")</f>
        <v/>
      </c>
      <c r="AR109" s="421" t="str">
        <f>IF(P109&lt;&gt;"","List specific conclusions resulting from your analysis:","")</f>
        <v/>
      </c>
      <c r="AS109" s="421"/>
      <c r="AT109" s="421"/>
      <c r="AU109" s="421"/>
      <c r="AV109" s="421"/>
      <c r="AW109" s="421"/>
      <c r="AX109" s="421"/>
      <c r="AY109" s="190"/>
      <c r="AZ109" s="414" t="str">
        <f>IF(P109&lt;&gt;"","6)","")</f>
        <v/>
      </c>
      <c r="BA109" s="421" t="str">
        <f>IF(P109&lt;&gt;"","What is the program's action plan and the timetable for those actions to address each of your conclusions?","")</f>
        <v/>
      </c>
      <c r="BB109" s="421"/>
      <c r="BC109" s="421"/>
      <c r="BD109" s="421"/>
      <c r="BE109" s="421"/>
      <c r="BF109" s="421"/>
      <c r="BG109" s="421"/>
      <c r="BH109" s="190"/>
      <c r="BJ109" s="190"/>
      <c r="BK109" s="190"/>
      <c r="BL109" s="190"/>
      <c r="BM109" s="190"/>
      <c r="BN109" s="190"/>
      <c r="BO109" s="190"/>
      <c r="BP109" s="190"/>
    </row>
    <row r="110" spans="1:84" x14ac:dyDescent="0.35">
      <c r="P110" s="423"/>
      <c r="Q110" s="421"/>
      <c r="R110" s="421"/>
      <c r="S110" s="421"/>
      <c r="T110" s="421"/>
      <c r="U110" s="421"/>
      <c r="V110" s="421"/>
      <c r="W110" s="421"/>
      <c r="X110" s="155"/>
      <c r="Y110" s="414"/>
      <c r="Z110" s="421"/>
      <c r="AA110" s="421"/>
      <c r="AB110" s="421"/>
      <c r="AC110" s="421"/>
      <c r="AD110" s="421"/>
      <c r="AE110" s="421"/>
      <c r="AF110" s="421"/>
      <c r="AG110" s="190"/>
      <c r="AH110" s="189"/>
      <c r="AI110" s="421"/>
      <c r="AJ110" s="421"/>
      <c r="AK110" s="421"/>
      <c r="AL110" s="421"/>
      <c r="AM110" s="421"/>
      <c r="AN110" s="421"/>
      <c r="AO110" s="421"/>
      <c r="AP110" s="155"/>
      <c r="AQ110" s="414"/>
      <c r="AR110" s="421"/>
      <c r="AS110" s="421"/>
      <c r="AT110" s="421"/>
      <c r="AU110" s="421"/>
      <c r="AV110" s="421"/>
      <c r="AW110" s="421"/>
      <c r="AX110" s="421"/>
      <c r="AY110" s="190"/>
      <c r="AZ110" s="414"/>
      <c r="BA110" s="421"/>
      <c r="BB110" s="421"/>
      <c r="BC110" s="421"/>
      <c r="BD110" s="421"/>
      <c r="BE110" s="421"/>
      <c r="BF110" s="421"/>
      <c r="BG110" s="421"/>
      <c r="BH110" s="190"/>
      <c r="BI110" s="189"/>
      <c r="BJ110" s="190"/>
      <c r="BK110" s="190"/>
      <c r="BL110" s="190"/>
      <c r="BM110" s="190"/>
      <c r="BN110" s="190"/>
      <c r="BO110" s="190"/>
      <c r="BP110" s="190"/>
      <c r="BQ110" s="155"/>
      <c r="BR110" s="155"/>
      <c r="BS110" s="155"/>
      <c r="BU110" s="189"/>
      <c r="BV110" s="412"/>
      <c r="BW110" s="412"/>
      <c r="BX110" s="412"/>
      <c r="BY110" s="412"/>
      <c r="BZ110" s="412"/>
      <c r="CA110" s="412"/>
      <c r="CB110" s="412"/>
      <c r="CC110" s="412"/>
      <c r="CD110" s="412"/>
      <c r="CE110" s="412"/>
    </row>
    <row r="111" spans="1:84" ht="23.25" customHeight="1" x14ac:dyDescent="0.4">
      <c r="B111" s="65" t="s">
        <v>101</v>
      </c>
      <c r="C111" s="66"/>
      <c r="D111" s="66"/>
      <c r="E111" s="66"/>
      <c r="F111" s="66"/>
      <c r="G111" s="66"/>
      <c r="H111" s="66"/>
      <c r="I111" s="66"/>
      <c r="J111" s="66"/>
      <c r="K111" s="66"/>
      <c r="L111" s="66"/>
      <c r="M111" s="66"/>
      <c r="N111" s="67"/>
      <c r="P111" s="273"/>
      <c r="Q111" s="595"/>
      <c r="R111" s="595"/>
      <c r="S111" s="595"/>
      <c r="T111" s="595"/>
      <c r="U111" s="595"/>
      <c r="V111" s="595"/>
      <c r="W111" s="595"/>
      <c r="X111" s="170"/>
      <c r="Z111" s="608"/>
      <c r="AA111" s="608"/>
      <c r="AB111" s="218"/>
      <c r="AC111" s="218"/>
      <c r="AD111" s="218"/>
      <c r="AE111" s="218"/>
      <c r="AF111" s="204"/>
      <c r="AG111" s="201"/>
      <c r="AI111" s="587"/>
      <c r="AJ111" s="587"/>
      <c r="AK111" s="587"/>
      <c r="AL111" s="587"/>
      <c r="AM111" s="587"/>
      <c r="AN111" s="587"/>
      <c r="AO111" s="587"/>
      <c r="AP111" s="201" t="e">
        <f>IF(AP112=1,"&lt;===", "")</f>
        <v>#REF!</v>
      </c>
      <c r="AR111" s="587"/>
      <c r="AS111" s="587"/>
      <c r="AT111" s="587"/>
      <c r="AU111" s="587"/>
      <c r="AV111" s="587"/>
      <c r="AW111" s="587"/>
      <c r="AX111" s="587"/>
      <c r="AY111" s="197" t="e">
        <f>IF(AY112=1,"&lt;===", "")</f>
        <v>#REF!</v>
      </c>
      <c r="BA111" s="587"/>
      <c r="BB111" s="587"/>
      <c r="BC111" s="587"/>
      <c r="BD111" s="587"/>
      <c r="BE111" s="587"/>
      <c r="BF111" s="587"/>
      <c r="BG111" s="587"/>
      <c r="BH111" s="197" t="e">
        <f>IF(BH112=1,"&lt;===", "")</f>
        <v>#REF!</v>
      </c>
      <c r="BJ111" s="586"/>
      <c r="BK111" s="586"/>
      <c r="BV111" s="164"/>
      <c r="BW111" s="164"/>
    </row>
    <row r="112" spans="1:84" ht="62.25" customHeight="1" x14ac:dyDescent="0.35">
      <c r="B112" s="424" t="s">
        <v>90</v>
      </c>
      <c r="C112" s="425"/>
      <c r="D112" s="425"/>
      <c r="E112" s="425"/>
      <c r="F112" s="425"/>
      <c r="G112" s="425"/>
      <c r="H112" s="425"/>
      <c r="I112" s="425"/>
      <c r="J112" s="425"/>
      <c r="K112" s="425"/>
      <c r="L112" s="425"/>
      <c r="M112" s="425"/>
      <c r="N112" s="426"/>
      <c r="Q112" s="595"/>
      <c r="R112" s="595"/>
      <c r="S112" s="595"/>
      <c r="T112" s="595"/>
      <c r="U112" s="595"/>
      <c r="V112" s="595"/>
      <c r="W112" s="595"/>
      <c r="X112" s="174"/>
      <c r="Z112" s="606"/>
      <c r="AA112" s="606"/>
      <c r="AB112" s="606"/>
      <c r="AC112" s="606"/>
      <c r="AD112" s="606"/>
      <c r="AE112" s="606"/>
      <c r="AF112" s="606"/>
      <c r="AG112" s="218"/>
      <c r="AI112" s="587"/>
      <c r="AJ112" s="587"/>
      <c r="AK112" s="587"/>
      <c r="AL112" s="587"/>
      <c r="AM112" s="587"/>
      <c r="AN112" s="587"/>
      <c r="AO112" s="587"/>
      <c r="AP112" s="204" t="e">
        <f>IF(AND(P109&lt;&gt;"", AI111="",#REF!&lt;&gt;""),1, "")</f>
        <v>#REF!</v>
      </c>
      <c r="AR112" s="587"/>
      <c r="AS112" s="587"/>
      <c r="AT112" s="587"/>
      <c r="AU112" s="587"/>
      <c r="AV112" s="587"/>
      <c r="AW112" s="587"/>
      <c r="AX112" s="587"/>
      <c r="AY112" s="167" t="e">
        <f>IF(AND(P109&lt;&gt;"", AR111="",#REF!&lt;&gt;""),1, "")</f>
        <v>#REF!</v>
      </c>
      <c r="BA112" s="587"/>
      <c r="BB112" s="587"/>
      <c r="BC112" s="587"/>
      <c r="BD112" s="587"/>
      <c r="BE112" s="587"/>
      <c r="BF112" s="587"/>
      <c r="BG112" s="587"/>
      <c r="BH112" s="204" t="e">
        <f>IF(AND(P109&lt;&gt;"", BA111="",#REF!&lt;&gt;""),1, "")</f>
        <v>#REF!</v>
      </c>
      <c r="BI112" s="62"/>
      <c r="BJ112" s="222"/>
      <c r="BK112" s="222"/>
      <c r="BL112" s="222"/>
      <c r="BM112" s="222"/>
      <c r="BN112" s="222"/>
      <c r="BO112" s="222"/>
      <c r="BP112" s="222"/>
      <c r="BQ112" s="222"/>
      <c r="BV112" s="190"/>
      <c r="BW112" s="190"/>
      <c r="BX112" s="190"/>
      <c r="BY112" s="190"/>
      <c r="BZ112" s="190"/>
      <c r="CA112" s="190"/>
      <c r="CB112" s="190"/>
      <c r="CC112" s="190"/>
      <c r="CD112" s="190"/>
      <c r="CE112" s="190"/>
    </row>
    <row r="113" spans="1:83" ht="47.25" customHeight="1" x14ac:dyDescent="0.35">
      <c r="B113" s="432" t="s">
        <v>103</v>
      </c>
      <c r="C113" s="433"/>
      <c r="D113" s="434"/>
      <c r="E113" s="68" t="str">
        <f>E63</f>
        <v>Satellite 
# 1:</v>
      </c>
      <c r="F113" s="68" t="str">
        <f t="shared" ref="F113:M113" si="14">F63</f>
        <v/>
      </c>
      <c r="G113" s="68" t="str">
        <f t="shared" si="14"/>
        <v/>
      </c>
      <c r="H113" s="68" t="str">
        <f t="shared" si="14"/>
        <v/>
      </c>
      <c r="I113" s="68" t="str">
        <f t="shared" si="14"/>
        <v/>
      </c>
      <c r="J113" s="68" t="str">
        <f t="shared" si="14"/>
        <v/>
      </c>
      <c r="K113" s="68" t="str">
        <f t="shared" si="14"/>
        <v/>
      </c>
      <c r="L113" s="68" t="str">
        <f t="shared" si="14"/>
        <v/>
      </c>
      <c r="M113" s="68" t="str">
        <f t="shared" si="14"/>
        <v/>
      </c>
      <c r="N113" s="68" t="s">
        <v>12</v>
      </c>
      <c r="P113" s="174"/>
      <c r="Q113" s="595"/>
      <c r="R113" s="595"/>
      <c r="S113" s="595"/>
      <c r="T113" s="595"/>
      <c r="U113" s="595"/>
      <c r="V113" s="595"/>
      <c r="W113" s="595"/>
      <c r="X113" s="221"/>
      <c r="Z113" s="607"/>
      <c r="AA113" s="607"/>
      <c r="AB113" s="607"/>
      <c r="AC113" s="607"/>
      <c r="AD113" s="607"/>
      <c r="AE113" s="607"/>
      <c r="AF113" s="607"/>
      <c r="AG113" s="218"/>
      <c r="AH113" s="61"/>
      <c r="AI113" s="587"/>
      <c r="AJ113" s="587"/>
      <c r="AK113" s="587"/>
      <c r="AL113" s="587"/>
      <c r="AM113" s="587"/>
      <c r="AN113" s="587"/>
      <c r="AO113" s="587"/>
      <c r="AP113" s="218"/>
      <c r="AR113" s="587"/>
      <c r="AS113" s="587"/>
      <c r="AT113" s="587"/>
      <c r="AU113" s="587"/>
      <c r="AV113" s="587"/>
      <c r="AW113" s="587"/>
      <c r="AX113" s="587"/>
      <c r="AY113" s="162"/>
      <c r="BA113" s="587"/>
      <c r="BB113" s="587"/>
      <c r="BC113" s="587"/>
      <c r="BD113" s="587"/>
      <c r="BE113" s="587"/>
      <c r="BF113" s="587"/>
      <c r="BG113" s="587"/>
      <c r="BH113" s="217"/>
      <c r="BJ113" s="162"/>
      <c r="BK113" s="162"/>
      <c r="BL113" s="162"/>
      <c r="BM113" s="162"/>
      <c r="BN113" s="162"/>
      <c r="BO113" s="162"/>
      <c r="BP113" s="162"/>
      <c r="BQ113" s="162"/>
      <c r="BR113" s="162"/>
      <c r="BS113" s="162"/>
      <c r="BV113" s="163"/>
      <c r="BW113" s="163"/>
      <c r="BX113" s="163"/>
      <c r="BY113" s="163"/>
      <c r="BZ113" s="163"/>
      <c r="CA113" s="163"/>
      <c r="CB113" s="163"/>
      <c r="CC113" s="163"/>
      <c r="CD113" s="163"/>
      <c r="CE113" s="163"/>
    </row>
    <row r="114" spans="1:83" ht="18" customHeight="1" x14ac:dyDescent="0.35">
      <c r="B114" s="429" t="s">
        <v>14</v>
      </c>
      <c r="C114" s="430"/>
      <c r="D114" s="431"/>
      <c r="E114" s="69" t="str">
        <f t="shared" ref="E114:M114" si="15">IF(ISBLANK(E64),"",E64)</f>
        <v/>
      </c>
      <c r="F114" s="69" t="str">
        <f t="shared" si="15"/>
        <v/>
      </c>
      <c r="G114" s="69" t="str">
        <f t="shared" si="15"/>
        <v/>
      </c>
      <c r="H114" s="69" t="str">
        <f t="shared" si="15"/>
        <v/>
      </c>
      <c r="I114" s="69" t="str">
        <f t="shared" si="15"/>
        <v/>
      </c>
      <c r="J114" s="69" t="str">
        <f t="shared" si="15"/>
        <v/>
      </c>
      <c r="K114" s="69" t="str">
        <f t="shared" si="15"/>
        <v/>
      </c>
      <c r="L114" s="69" t="str">
        <f t="shared" si="15"/>
        <v/>
      </c>
      <c r="M114" s="69" t="str">
        <f t="shared" si="15"/>
        <v/>
      </c>
      <c r="N114" s="70"/>
      <c r="Q114" s="595"/>
      <c r="R114" s="595"/>
      <c r="S114" s="595"/>
      <c r="T114" s="595"/>
      <c r="U114" s="595"/>
      <c r="V114" s="595"/>
      <c r="W114" s="595"/>
      <c r="Z114" s="608"/>
      <c r="AA114" s="608"/>
      <c r="AB114" s="218"/>
      <c r="AC114" s="218"/>
      <c r="AD114" s="218"/>
      <c r="AE114" s="218"/>
      <c r="AF114" s="204"/>
      <c r="AG114" s="201"/>
      <c r="AI114" s="587"/>
      <c r="AJ114" s="587"/>
      <c r="AK114" s="587"/>
      <c r="AL114" s="587"/>
      <c r="AM114" s="587"/>
      <c r="AN114" s="587"/>
      <c r="AO114" s="587"/>
      <c r="AP114" s="218"/>
      <c r="AR114" s="587"/>
      <c r="AS114" s="587"/>
      <c r="AT114" s="587"/>
      <c r="AU114" s="587"/>
      <c r="AV114" s="587"/>
      <c r="AW114" s="587"/>
      <c r="AX114" s="587"/>
      <c r="AY114" s="162"/>
      <c r="BA114" s="587"/>
      <c r="BB114" s="587"/>
      <c r="BC114" s="587"/>
      <c r="BD114" s="587"/>
      <c r="BE114" s="587"/>
      <c r="BF114" s="587"/>
      <c r="BG114" s="587"/>
      <c r="BH114" s="218"/>
      <c r="BJ114" s="162"/>
      <c r="BK114" s="162"/>
      <c r="BL114" s="162"/>
      <c r="BM114" s="162"/>
      <c r="BN114" s="162"/>
      <c r="BO114" s="162"/>
      <c r="BP114" s="162"/>
      <c r="BQ114" s="162"/>
      <c r="BR114" s="162"/>
      <c r="BS114" s="162"/>
      <c r="BV114" s="163"/>
      <c r="BW114" s="163"/>
      <c r="BX114" s="163"/>
      <c r="BY114" s="163"/>
      <c r="BZ114" s="163"/>
      <c r="CA114" s="163"/>
      <c r="CB114" s="163"/>
      <c r="CC114" s="163"/>
      <c r="CD114" s="163"/>
      <c r="CE114" s="163"/>
    </row>
    <row r="115" spans="1:83" ht="18" customHeight="1" x14ac:dyDescent="0.35">
      <c r="B115" s="415" t="s">
        <v>11</v>
      </c>
      <c r="C115" s="416"/>
      <c r="D115" s="19"/>
      <c r="E115" s="92" t="str">
        <f t="shared" ref="E115:M115" si="16">IF(ISBLANK(E65),"",E65)</f>
        <v/>
      </c>
      <c r="F115" s="92" t="str">
        <f t="shared" si="16"/>
        <v/>
      </c>
      <c r="G115" s="92" t="str">
        <f t="shared" si="16"/>
        <v/>
      </c>
      <c r="H115" s="92" t="str">
        <f t="shared" si="16"/>
        <v/>
      </c>
      <c r="I115" s="92" t="str">
        <f t="shared" si="16"/>
        <v/>
      </c>
      <c r="J115" s="92" t="str">
        <f t="shared" si="16"/>
        <v/>
      </c>
      <c r="K115" s="92" t="str">
        <f t="shared" si="16"/>
        <v/>
      </c>
      <c r="L115" s="92" t="str">
        <f t="shared" si="16"/>
        <v/>
      </c>
      <c r="M115" s="92" t="str">
        <f t="shared" si="16"/>
        <v/>
      </c>
      <c r="N115" s="93"/>
      <c r="Q115" s="595"/>
      <c r="R115" s="595"/>
      <c r="S115" s="595"/>
      <c r="T115" s="595"/>
      <c r="U115" s="595"/>
      <c r="V115" s="595"/>
      <c r="W115" s="595"/>
      <c r="Z115" s="605"/>
      <c r="AA115" s="605"/>
      <c r="AI115" s="587"/>
      <c r="AJ115" s="587"/>
      <c r="AK115" s="587"/>
      <c r="AL115" s="587"/>
      <c r="AM115" s="587"/>
      <c r="AN115" s="587"/>
      <c r="AO115" s="587"/>
      <c r="AR115" s="587"/>
      <c r="AS115" s="587"/>
      <c r="AT115" s="587"/>
      <c r="AU115" s="587"/>
      <c r="AV115" s="587"/>
      <c r="AW115" s="587"/>
      <c r="AX115" s="587"/>
      <c r="BA115" s="587"/>
      <c r="BB115" s="587"/>
      <c r="BC115" s="587"/>
      <c r="BD115" s="587"/>
      <c r="BE115" s="587"/>
      <c r="BF115" s="587"/>
      <c r="BG115" s="587"/>
      <c r="BH115" s="218"/>
      <c r="BJ115" s="162"/>
      <c r="BK115" s="162"/>
      <c r="BL115" s="162"/>
      <c r="BM115" s="162"/>
      <c r="BN115" s="162"/>
      <c r="BO115" s="162"/>
      <c r="BP115" s="162"/>
      <c r="BQ115" s="162"/>
      <c r="BR115" s="162"/>
      <c r="BS115" s="162"/>
      <c r="BV115" s="163"/>
      <c r="BW115" s="163"/>
      <c r="BX115" s="163"/>
      <c r="BY115" s="163"/>
      <c r="BZ115" s="163"/>
      <c r="CA115" s="163"/>
      <c r="CB115" s="163"/>
      <c r="CC115" s="163"/>
      <c r="CD115" s="163"/>
      <c r="CE115" s="163"/>
    </row>
    <row r="116" spans="1:83" ht="55.5" customHeight="1" x14ac:dyDescent="0.35">
      <c r="A116" s="191"/>
      <c r="B116" s="427" t="s">
        <v>106</v>
      </c>
      <c r="C116" s="428"/>
      <c r="D116" s="428"/>
      <c r="E116" s="96" t="str">
        <f t="shared" ref="E116:N116" si="17">IF(ISBLANK(E78),"",E78)</f>
        <v/>
      </c>
      <c r="F116" s="96" t="str">
        <f t="shared" si="17"/>
        <v/>
      </c>
      <c r="G116" s="96" t="str">
        <f t="shared" si="17"/>
        <v/>
      </c>
      <c r="H116" s="96" t="str">
        <f t="shared" si="17"/>
        <v/>
      </c>
      <c r="I116" s="96" t="str">
        <f t="shared" si="17"/>
        <v/>
      </c>
      <c r="J116" s="96" t="str">
        <f t="shared" si="17"/>
        <v/>
      </c>
      <c r="K116" s="96" t="str">
        <f t="shared" si="17"/>
        <v/>
      </c>
      <c r="L116" s="96" t="str">
        <f t="shared" si="17"/>
        <v/>
      </c>
      <c r="M116" s="96" t="str">
        <f t="shared" si="17"/>
        <v/>
      </c>
      <c r="N116" s="113" t="str">
        <f t="shared" si="17"/>
        <v/>
      </c>
      <c r="Q116" s="595"/>
      <c r="R116" s="595"/>
      <c r="S116" s="595"/>
      <c r="T116" s="595"/>
      <c r="U116" s="595"/>
      <c r="V116" s="595"/>
      <c r="W116" s="595"/>
      <c r="Z116" s="587"/>
      <c r="AA116" s="587"/>
      <c r="AB116" s="587"/>
      <c r="AC116" s="587"/>
      <c r="AD116" s="587"/>
      <c r="AE116" s="587"/>
      <c r="AF116" s="587"/>
      <c r="AG116" s="197"/>
      <c r="AI116" s="587"/>
      <c r="AJ116" s="587"/>
      <c r="AK116" s="587"/>
      <c r="AL116" s="587"/>
      <c r="AM116" s="587"/>
      <c r="AN116" s="587"/>
      <c r="AO116" s="587"/>
      <c r="AR116" s="587"/>
      <c r="AS116" s="587"/>
      <c r="AT116" s="587"/>
      <c r="AU116" s="587"/>
      <c r="AV116" s="587"/>
      <c r="AW116" s="587"/>
      <c r="AX116" s="587"/>
      <c r="BA116" s="587"/>
      <c r="BB116" s="587"/>
      <c r="BC116" s="587"/>
      <c r="BD116" s="587"/>
      <c r="BE116" s="587"/>
      <c r="BF116" s="587"/>
      <c r="BG116" s="587"/>
      <c r="BH116" s="218"/>
      <c r="BJ116" s="162"/>
      <c r="BK116" s="162"/>
      <c r="BL116" s="162"/>
      <c r="BM116" s="162"/>
      <c r="BN116" s="162"/>
      <c r="BO116" s="162"/>
      <c r="BP116" s="162"/>
      <c r="BQ116" s="162"/>
      <c r="BR116" s="162"/>
      <c r="BS116" s="162"/>
      <c r="BV116" s="163"/>
      <c r="BW116" s="163"/>
      <c r="BX116" s="163"/>
      <c r="BY116" s="163"/>
      <c r="BZ116" s="163"/>
      <c r="CA116" s="163"/>
      <c r="CB116" s="163"/>
      <c r="CC116" s="163"/>
      <c r="CD116" s="163"/>
      <c r="CE116" s="163"/>
    </row>
    <row r="117" spans="1:83" ht="23.25" customHeight="1" x14ac:dyDescent="0.35">
      <c r="B117" s="31"/>
      <c r="C117" s="123" t="s">
        <v>29</v>
      </c>
      <c r="D117" s="95"/>
      <c r="E117" s="129"/>
      <c r="F117" s="129"/>
      <c r="G117" s="129"/>
      <c r="H117" s="129"/>
      <c r="I117" s="129"/>
      <c r="J117" s="129"/>
      <c r="K117" s="129"/>
      <c r="L117" s="129"/>
      <c r="M117" s="129"/>
      <c r="N117" s="132" t="str">
        <f>IF(COUNT(E117:M117),SUM(E117:M117),"")</f>
        <v/>
      </c>
      <c r="O117" s="166" t="str">
        <f>IF(P117=1, "&lt;===", "")</f>
        <v/>
      </c>
      <c r="P117" s="167" t="str">
        <f>IF(OR(AND(E116&lt;&gt;"",E117="",'2023 Annual Report'!$D$411&lt;&gt;""),AND(F116&lt;&gt;"",F117="",'2023 Annual Report'!$D$411&lt;&gt;""),AND(G116&lt;&gt;"",G117="",'2023 Annual Report'!$D$411&lt;&gt;""),AND(H116&lt;&gt;"",H117="",'2023 Annual Report'!$D$411&lt;&gt;""),AND(I116&lt;&gt;"",I117="",'2023 Annual Report'!$D$411&lt;&gt;""),AND(J116&lt;&gt;"",J117="",'2023 Annual Report'!$D$411&lt;&gt;""),AND(K116&lt;&gt;"",K117="",'2023 Annual Report'!$D$411&lt;&gt;""),AND(L116&lt;&gt;"",L117="",'2023 Annual Report'!$D$411&lt;&gt;""),AND(M116&lt;&gt;"",M117="",'2023 Annual Report'!$D$411&lt;&gt;"")), 1, "")</f>
        <v/>
      </c>
      <c r="Q117" s="595"/>
      <c r="R117" s="595"/>
      <c r="S117" s="595"/>
      <c r="T117" s="595"/>
      <c r="U117" s="595"/>
      <c r="V117" s="595"/>
      <c r="W117" s="595"/>
      <c r="X117" s="217"/>
      <c r="Y117" s="413"/>
      <c r="Z117" s="587"/>
      <c r="AA117" s="587"/>
      <c r="AB117" s="587"/>
      <c r="AC117" s="587"/>
      <c r="AD117" s="587"/>
      <c r="AE117" s="587"/>
      <c r="AF117" s="587"/>
      <c r="AG117" s="204"/>
      <c r="AH117" s="413"/>
      <c r="AI117" s="587"/>
      <c r="AJ117" s="587"/>
      <c r="AK117" s="587"/>
      <c r="AL117" s="587"/>
      <c r="AM117" s="587"/>
      <c r="AN117" s="587"/>
      <c r="AO117" s="587"/>
      <c r="AP117" s="217"/>
      <c r="AQ117" s="413"/>
      <c r="AR117" s="587"/>
      <c r="AS117" s="587"/>
      <c r="AT117" s="587"/>
      <c r="AU117" s="587"/>
      <c r="AV117" s="587"/>
      <c r="AW117" s="587"/>
      <c r="AX117" s="587"/>
      <c r="AY117" s="221"/>
      <c r="BA117" s="587"/>
      <c r="BB117" s="587"/>
      <c r="BC117" s="587"/>
      <c r="BD117" s="587"/>
      <c r="BE117" s="587"/>
      <c r="BF117" s="587"/>
      <c r="BG117" s="587"/>
      <c r="BH117" s="218"/>
      <c r="BJ117" s="162"/>
      <c r="BK117" s="162"/>
      <c r="BL117" s="162"/>
      <c r="BM117" s="162"/>
      <c r="BN117" s="162"/>
      <c r="BO117" s="162"/>
      <c r="BP117" s="162"/>
      <c r="BQ117" s="162"/>
      <c r="BR117" s="162"/>
      <c r="BS117" s="162"/>
      <c r="BV117" s="163"/>
      <c r="BW117" s="163"/>
      <c r="BX117" s="163"/>
      <c r="BY117" s="163"/>
      <c r="BZ117" s="163"/>
      <c r="CA117" s="163"/>
      <c r="CB117" s="163"/>
      <c r="CC117" s="163"/>
      <c r="CD117" s="163"/>
      <c r="CE117" s="163"/>
    </row>
    <row r="118" spans="1:83" ht="35.25" customHeight="1" x14ac:dyDescent="0.35">
      <c r="B118" s="97"/>
      <c r="C118" s="385" t="s">
        <v>82</v>
      </c>
      <c r="D118" s="386"/>
      <c r="E118" s="133"/>
      <c r="F118" s="133"/>
      <c r="G118" s="133"/>
      <c r="H118" s="133"/>
      <c r="I118" s="133"/>
      <c r="J118" s="133"/>
      <c r="K118" s="133"/>
      <c r="L118" s="133"/>
      <c r="M118" s="133"/>
      <c r="N118" s="134" t="str">
        <f>IF(COUNT(E118:M118),SUM(E118:M118),"")</f>
        <v/>
      </c>
      <c r="O118" s="166" t="str">
        <f>IF(P118=1, "&lt;===", "")</f>
        <v/>
      </c>
      <c r="P118" s="167" t="str">
        <f>IF(OR(AND(E116&lt;&gt;"",E118="",'2023 Annual Report'!$D$411&lt;&gt;""),AND(F116&lt;&gt;"",F118="",'2023 Annual Report'!$D$411&lt;&gt;""),AND(G116&lt;&gt;"",G118="",'2023 Annual Report'!$D$411&lt;&gt;""),AND(H116&lt;&gt;"",H118="",'2023 Annual Report'!$D$411&lt;&gt;""),AND(I116&lt;&gt;"",I118="",'2023 Annual Report'!$D$411&lt;&gt;""),AND(J116&lt;&gt;"",J118="",'2023 Annual Report'!$D$411&lt;&gt;""),AND(K116&lt;&gt;"",K118="",'2023 Annual Report'!$D$411&lt;&gt;""),AND(L116&lt;&gt;"",L118="",'2023 Annual Report'!$D$411&lt;&gt;""),AND(M116&lt;&gt;"",M118="",'2023 Annual Report'!$D$411&lt;&gt;"")), 1, "")</f>
        <v/>
      </c>
      <c r="Q118" s="595"/>
      <c r="R118" s="595"/>
      <c r="S118" s="595"/>
      <c r="T118" s="595"/>
      <c r="U118" s="595"/>
      <c r="V118" s="595"/>
      <c r="W118" s="595"/>
      <c r="X118" s="217"/>
      <c r="Y118" s="413"/>
      <c r="Z118" s="587"/>
      <c r="AA118" s="587"/>
      <c r="AB118" s="587"/>
      <c r="AC118" s="587"/>
      <c r="AD118" s="587"/>
      <c r="AE118" s="587"/>
      <c r="AF118" s="587"/>
      <c r="AG118" s="217"/>
      <c r="AH118" s="413"/>
      <c r="AI118" s="587"/>
      <c r="AJ118" s="587"/>
      <c r="AK118" s="587"/>
      <c r="AL118" s="587"/>
      <c r="AM118" s="587"/>
      <c r="AN118" s="587"/>
      <c r="AO118" s="587"/>
      <c r="AP118" s="217"/>
      <c r="AQ118" s="413"/>
      <c r="AR118" s="587"/>
      <c r="AS118" s="587"/>
      <c r="AT118" s="587"/>
      <c r="AU118" s="587"/>
      <c r="AV118" s="587"/>
      <c r="AW118" s="587"/>
      <c r="AX118" s="587"/>
      <c r="AY118" s="221"/>
      <c r="BA118" s="587"/>
      <c r="BB118" s="587"/>
      <c r="BC118" s="587"/>
      <c r="BD118" s="587"/>
      <c r="BE118" s="587"/>
      <c r="BF118" s="587"/>
      <c r="BG118" s="587"/>
      <c r="BH118" s="218"/>
      <c r="BJ118" s="162"/>
      <c r="BK118" s="162"/>
      <c r="BL118" s="162"/>
      <c r="BM118" s="162"/>
      <c r="BN118" s="162"/>
      <c r="BO118" s="162"/>
      <c r="BP118" s="162"/>
      <c r="BQ118" s="162"/>
      <c r="BR118" s="162"/>
      <c r="BS118" s="162"/>
      <c r="BV118" s="163"/>
      <c r="BW118" s="163"/>
      <c r="BX118" s="163"/>
      <c r="BY118" s="163"/>
      <c r="BZ118" s="163"/>
      <c r="CA118" s="163"/>
      <c r="CB118" s="163"/>
      <c r="CC118" s="163"/>
      <c r="CD118" s="163"/>
      <c r="CE118" s="163"/>
    </row>
    <row r="119" spans="1:83" ht="24.75" customHeight="1" x14ac:dyDescent="0.35">
      <c r="B119" s="356" t="str">
        <f>"Total Satellite Positive Placement in " &amp;D4</f>
        <v>Total Satellite Positive Placement in 2023</v>
      </c>
      <c r="C119" s="357"/>
      <c r="D119" s="358"/>
      <c r="E119" s="56" t="str">
        <f>IF(OR(E116="",E117="",E118=""),"",SUM(E117+E118))</f>
        <v/>
      </c>
      <c r="F119" s="56" t="str">
        <f t="shared" ref="F119:M119" si="18">IF(OR(F116="",F117="",F118=""),"",SUM(F117+F118))</f>
        <v/>
      </c>
      <c r="G119" s="56" t="str">
        <f t="shared" si="18"/>
        <v/>
      </c>
      <c r="H119" s="56" t="str">
        <f t="shared" si="18"/>
        <v/>
      </c>
      <c r="I119" s="56" t="str">
        <f t="shared" si="18"/>
        <v/>
      </c>
      <c r="J119" s="56" t="str">
        <f t="shared" si="18"/>
        <v/>
      </c>
      <c r="K119" s="56" t="str">
        <f t="shared" si="18"/>
        <v/>
      </c>
      <c r="L119" s="56" t="str">
        <f t="shared" si="18"/>
        <v/>
      </c>
      <c r="M119" s="56" t="str">
        <f t="shared" si="18"/>
        <v/>
      </c>
      <c r="N119" s="51" t="str">
        <f>IF(COUNT(N117:N118),SUM(N117,N118),"")</f>
        <v/>
      </c>
      <c r="P119" s="167"/>
      <c r="Q119" s="595"/>
      <c r="R119" s="595"/>
      <c r="S119" s="595"/>
      <c r="T119" s="595"/>
      <c r="U119" s="595"/>
      <c r="V119" s="595"/>
      <c r="W119" s="595"/>
      <c r="Z119" s="587"/>
      <c r="AA119" s="587"/>
      <c r="AB119" s="587"/>
      <c r="AC119" s="587"/>
      <c r="AD119" s="587"/>
      <c r="AE119" s="587"/>
      <c r="AF119" s="587"/>
      <c r="AG119" s="5"/>
      <c r="AI119" s="587"/>
      <c r="AJ119" s="587"/>
      <c r="AK119" s="587"/>
      <c r="AL119" s="587"/>
      <c r="AM119" s="587"/>
      <c r="AN119" s="587"/>
      <c r="AO119" s="587"/>
      <c r="AR119" s="587"/>
      <c r="AS119" s="587"/>
      <c r="AT119" s="587"/>
      <c r="AU119" s="587"/>
      <c r="AV119" s="587"/>
      <c r="AW119" s="587"/>
      <c r="AX119" s="587"/>
      <c r="BA119" s="587"/>
      <c r="BB119" s="587"/>
      <c r="BC119" s="587"/>
      <c r="BD119" s="587"/>
      <c r="BE119" s="587"/>
      <c r="BF119" s="587"/>
      <c r="BG119" s="587"/>
      <c r="BH119" s="218"/>
      <c r="BJ119" s="162"/>
      <c r="BK119" s="162"/>
      <c r="BL119" s="162"/>
      <c r="BM119" s="162"/>
      <c r="BN119" s="162"/>
      <c r="BO119" s="162"/>
      <c r="BP119" s="162"/>
      <c r="BQ119" s="162"/>
      <c r="BR119" s="162"/>
      <c r="BS119" s="162"/>
    </row>
    <row r="120" spans="1:83" ht="45.75" customHeight="1" x14ac:dyDescent="0.35">
      <c r="B120" s="366" t="s">
        <v>107</v>
      </c>
      <c r="C120" s="367"/>
      <c r="D120" s="368"/>
      <c r="E120" s="149" t="str">
        <f>IF(E116="","",IFERROR(E119/E116,0))</f>
        <v/>
      </c>
      <c r="F120" s="149" t="str">
        <f>IF(F116="","",IFERROR(F119/F116,0))</f>
        <v/>
      </c>
      <c r="G120" s="149" t="str">
        <f t="shared" ref="G120:M120" si="19">IF(G116="","",IFERROR(G119/G116,0))</f>
        <v/>
      </c>
      <c r="H120" s="149" t="str">
        <f t="shared" si="19"/>
        <v/>
      </c>
      <c r="I120" s="149" t="str">
        <f t="shared" si="19"/>
        <v/>
      </c>
      <c r="J120" s="149" t="str">
        <f t="shared" si="19"/>
        <v/>
      </c>
      <c r="K120" s="149" t="str">
        <f t="shared" si="19"/>
        <v/>
      </c>
      <c r="L120" s="149" t="str">
        <f t="shared" si="19"/>
        <v/>
      </c>
      <c r="M120" s="149" t="str">
        <f t="shared" si="19"/>
        <v/>
      </c>
      <c r="N120" s="150">
        <f>IF(AND(N66&lt;&gt;"",N117&lt;&gt;"",N118&lt;&gt;""),N119/N116,0)</f>
        <v>0</v>
      </c>
      <c r="O120" s="175" t="str">
        <f>IF(P119=1, "&lt;===", "")</f>
        <v/>
      </c>
      <c r="P120" s="273"/>
      <c r="Q120" s="412"/>
      <c r="R120" s="412"/>
      <c r="S120" s="412"/>
      <c r="T120" s="412"/>
      <c r="U120" s="412"/>
      <c r="V120" s="412"/>
      <c r="W120" s="412"/>
      <c r="Z120" s="587"/>
      <c r="AA120" s="587"/>
      <c r="AB120" s="587"/>
      <c r="AC120" s="587"/>
      <c r="AD120" s="587"/>
      <c r="AE120" s="587"/>
      <c r="AF120" s="587"/>
      <c r="AG120" s="5"/>
      <c r="AI120" s="587"/>
      <c r="AJ120" s="587"/>
      <c r="AK120" s="587"/>
      <c r="AL120" s="587"/>
      <c r="AM120" s="587"/>
      <c r="AN120" s="587"/>
      <c r="AO120" s="587"/>
      <c r="AR120" s="587"/>
      <c r="AS120" s="587"/>
      <c r="AT120" s="587"/>
      <c r="AU120" s="587"/>
      <c r="AV120" s="587"/>
      <c r="AW120" s="587"/>
      <c r="AX120" s="587"/>
      <c r="BA120" s="587"/>
      <c r="BB120" s="587"/>
      <c r="BC120" s="587"/>
      <c r="BD120" s="587"/>
      <c r="BE120" s="587"/>
      <c r="BF120" s="587"/>
      <c r="BG120" s="587"/>
      <c r="BH120" s="218"/>
      <c r="BJ120" s="162"/>
      <c r="BK120" s="162"/>
      <c r="BL120" s="162"/>
      <c r="BM120" s="162"/>
      <c r="BN120" s="162"/>
      <c r="BO120" s="162"/>
      <c r="BP120" s="162"/>
      <c r="BQ120" s="162"/>
      <c r="BR120" s="162"/>
      <c r="BS120" s="162"/>
      <c r="BU120" s="189"/>
      <c r="BV120" s="412"/>
      <c r="BW120" s="412"/>
      <c r="BX120" s="412"/>
      <c r="BY120" s="412"/>
      <c r="BZ120" s="412"/>
      <c r="CA120" s="412"/>
      <c r="CB120" s="412"/>
      <c r="CC120" s="412"/>
      <c r="CD120" s="412"/>
      <c r="CE120" s="412"/>
    </row>
    <row r="121" spans="1:83" ht="120.75" customHeight="1" x14ac:dyDescent="0.35">
      <c r="B121" s="589" t="str">
        <f>IF(OR(AND(N116&lt;&gt;"",N117&lt;&gt;"",N118&lt;&gt;"",N119&lt;&gt;"",N120&lt;0.7,B122=""),AND(N116&lt;&gt;"",N117&lt;&gt;"",N118&lt;&gt;"",N119&lt;&gt;"",N120&gt;=0.7,N120&lt;=100%,B122="")),"This table is finished.  
The overall results for this outcome are calculated on the "&amp;D4&amp;" Annual Report tab.  
Please return to the "&amp;D4&amp;" Annual Report tab to finish completing the Annual Report.  
Remember to save your work often.","")</f>
        <v/>
      </c>
      <c r="C121" s="590"/>
      <c r="D121" s="590"/>
      <c r="E121" s="590"/>
      <c r="F121" s="590"/>
      <c r="G121" s="590"/>
      <c r="H121" s="590"/>
      <c r="I121" s="590"/>
      <c r="J121" s="590"/>
      <c r="K121" s="590"/>
      <c r="L121" s="590"/>
      <c r="M121" s="590"/>
      <c r="N121" s="591"/>
      <c r="Q121" s="595"/>
      <c r="R121" s="595"/>
      <c r="S121" s="595"/>
      <c r="T121" s="595"/>
      <c r="U121" s="595"/>
      <c r="V121" s="595"/>
      <c r="W121" s="595"/>
      <c r="X121" s="202"/>
      <c r="Y121" s="61"/>
      <c r="Z121" s="397"/>
      <c r="AA121" s="397"/>
      <c r="AB121" s="397"/>
      <c r="AC121" s="397"/>
      <c r="AD121" s="397"/>
      <c r="AE121" s="397"/>
      <c r="AF121" s="397"/>
      <c r="AG121" s="217"/>
      <c r="AI121" s="587"/>
      <c r="AJ121" s="587"/>
      <c r="AK121" s="587"/>
      <c r="AL121" s="587"/>
      <c r="AM121" s="587"/>
      <c r="AN121" s="587"/>
      <c r="AO121" s="587"/>
      <c r="AP121" s="217"/>
      <c r="AR121" s="587"/>
      <c r="AS121" s="587"/>
      <c r="AT121" s="587"/>
      <c r="AU121" s="587"/>
      <c r="AV121" s="587"/>
      <c r="AW121" s="587"/>
      <c r="AX121" s="587"/>
      <c r="AY121" s="217"/>
      <c r="BA121" s="587"/>
      <c r="BB121" s="587"/>
      <c r="BC121" s="587"/>
      <c r="BD121" s="587"/>
      <c r="BE121" s="587"/>
      <c r="BF121" s="587"/>
      <c r="BG121" s="587"/>
      <c r="BH121" s="218"/>
      <c r="BJ121" s="162"/>
      <c r="BK121" s="162"/>
      <c r="BL121" s="162"/>
      <c r="BM121" s="162"/>
      <c r="BN121" s="162"/>
      <c r="BO121" s="162"/>
      <c r="BP121" s="162"/>
      <c r="BQ121" s="162"/>
      <c r="BR121" s="162"/>
      <c r="BS121" s="162"/>
      <c r="BV121" s="162"/>
      <c r="BW121" s="162"/>
      <c r="BX121" s="162"/>
      <c r="BY121" s="162"/>
      <c r="BZ121" s="162"/>
      <c r="CA121" s="162"/>
      <c r="CB121" s="162"/>
      <c r="CC121" s="162"/>
      <c r="CD121" s="162"/>
      <c r="CE121" s="162"/>
    </row>
    <row r="122" spans="1:83" ht="52.5" customHeight="1" x14ac:dyDescent="0.35">
      <c r="B122" s="443" t="str">
        <f>IF(OR(AND(E120&gt;100%,E119&lt;&gt;""),AND(F120&gt;100%,F119&lt;&gt;""),AND(G120&gt;100%,G119&lt;&gt;""),AND(H120&gt;100%,H119&lt;&gt;""),AND(I120&gt;100%,I119&lt;&gt;""),AND(J120&gt;100%,J119&lt;&gt;""),AND(K120&gt;100%,K119&lt;&gt;""),AND(L120&gt;100%,L119&lt;&gt;""),AND(M120&gt;100%,M119&lt;&gt;""),AND(N120&gt;100%,N119&lt;&gt;"")),"Error has occurred; The pass rate success percentage cannot be more than 100%",IF(OR(AND(E116&lt;&gt;"",E119&lt;&gt;"",E119&gt;E116),AND(F116&lt;&gt;"",F119&lt;&gt;"",F119&gt;F116),AND(G116&lt;&gt;"",G119&lt;&gt;"",G119&gt;G116),AND(H116&lt;&gt;"",H119&lt;&gt;"",H119&gt;H116),AND(I116&lt;&gt;"",I119&lt;&gt;"",I119&gt;I116),AND(J116&lt;&gt;"",J119&lt;&gt;"",J119&gt;J116),AND(K116&lt;&gt;"",K119&lt;&gt;"",K119&gt;K116),AND(L116&lt;&gt;"",L119&lt;&gt;"",L119&gt;L116),AND(M116&lt;&gt;"",M119&lt;&gt;"",M119&gt;M116)),"Error has occurred; The total positive placement number cannot be more than the total graduates reported",IF(OR(AND(E116&lt;&gt;"",E119="",E120=0),AND(F116&lt;&gt;"",F119="",F120=0),AND(G116&lt;&gt;"",G119="",G120=0),AND(H116&lt;&gt;"",H119="",H120=0),AND(I116&lt;&gt;"",I119="",I120=0),AND(J116&lt;&gt;"",J119="",J120=0),AND(K116&lt;&gt;"",K119="",K120=0),AND(L116&lt;&gt;"",L119="",L120=0),AND(M116&lt;&gt;"",M119="",M120=0)),"Please Note: An empty or blank cell is not the same as a zero.","")))</f>
        <v/>
      </c>
      <c r="C122" s="443"/>
      <c r="D122" s="443"/>
      <c r="E122" s="443"/>
      <c r="F122" s="443"/>
      <c r="G122" s="443"/>
      <c r="H122" s="443"/>
      <c r="I122" s="443"/>
      <c r="J122" s="443"/>
      <c r="K122" s="443"/>
      <c r="L122" s="443"/>
      <c r="M122" s="443"/>
      <c r="N122" s="443"/>
      <c r="Q122" s="595"/>
      <c r="R122" s="595"/>
      <c r="S122" s="595"/>
      <c r="T122" s="595"/>
      <c r="U122" s="595"/>
      <c r="V122" s="595"/>
      <c r="W122" s="595"/>
      <c r="X122" s="204"/>
      <c r="Z122" s="587"/>
      <c r="AA122" s="587"/>
      <c r="AB122" s="587"/>
      <c r="AC122" s="587"/>
      <c r="AD122" s="587"/>
      <c r="AE122" s="587"/>
      <c r="AF122" s="587"/>
      <c r="AG122" s="201"/>
      <c r="AI122" s="587"/>
      <c r="AJ122" s="587"/>
      <c r="AK122" s="587"/>
      <c r="AL122" s="587"/>
      <c r="AM122" s="587"/>
      <c r="AN122" s="587"/>
      <c r="AO122" s="587"/>
      <c r="AP122" s="162"/>
      <c r="AR122" s="587"/>
      <c r="AS122" s="587"/>
      <c r="AT122" s="587"/>
      <c r="AU122" s="587"/>
      <c r="AV122" s="587"/>
      <c r="AW122" s="587"/>
      <c r="AX122" s="587"/>
      <c r="AY122" s="162"/>
      <c r="BA122" s="587"/>
      <c r="BB122" s="587"/>
      <c r="BC122" s="587"/>
      <c r="BD122" s="587"/>
      <c r="BE122" s="587"/>
      <c r="BF122" s="587"/>
      <c r="BG122" s="587"/>
      <c r="BH122" s="218"/>
      <c r="BI122" s="61"/>
      <c r="BJ122" s="162"/>
      <c r="BK122" s="162"/>
      <c r="BL122" s="162"/>
      <c r="BM122" s="162"/>
      <c r="BN122" s="162"/>
      <c r="BO122" s="162"/>
      <c r="BP122" s="162"/>
      <c r="BQ122" s="162"/>
      <c r="BR122" s="162"/>
      <c r="BS122" s="162"/>
      <c r="BV122" s="162"/>
      <c r="BW122" s="162"/>
      <c r="BX122" s="162"/>
      <c r="BY122" s="162"/>
      <c r="BZ122" s="162"/>
      <c r="CA122" s="162"/>
      <c r="CB122" s="162"/>
      <c r="CC122" s="162"/>
      <c r="CD122" s="162"/>
      <c r="CE122" s="162"/>
    </row>
    <row r="123" spans="1:83" x14ac:dyDescent="0.35">
      <c r="Q123" s="595"/>
      <c r="R123" s="595"/>
      <c r="S123" s="595"/>
      <c r="T123" s="595"/>
      <c r="U123" s="595"/>
      <c r="V123" s="595"/>
      <c r="W123" s="595"/>
      <c r="X123" s="218"/>
      <c r="Z123" s="587"/>
      <c r="AA123" s="587"/>
      <c r="AB123" s="587"/>
      <c r="AC123" s="587"/>
      <c r="AD123" s="587"/>
      <c r="AE123" s="587"/>
      <c r="AF123" s="587"/>
      <c r="AG123" s="204"/>
      <c r="AI123" s="587"/>
      <c r="AJ123" s="587"/>
      <c r="AK123" s="587"/>
      <c r="AL123" s="587"/>
      <c r="AM123" s="587"/>
      <c r="AN123" s="587"/>
      <c r="AO123" s="587"/>
      <c r="AP123" s="162"/>
      <c r="AR123" s="587"/>
      <c r="AS123" s="587"/>
      <c r="AT123" s="587"/>
      <c r="AU123" s="587"/>
      <c r="AV123" s="587"/>
      <c r="AW123" s="587"/>
      <c r="AX123" s="587"/>
      <c r="AY123" s="162"/>
      <c r="BA123" s="587"/>
      <c r="BB123" s="587"/>
      <c r="BC123" s="587"/>
      <c r="BD123" s="587"/>
      <c r="BE123" s="587"/>
      <c r="BF123" s="587"/>
      <c r="BG123" s="587"/>
      <c r="BH123" s="218"/>
      <c r="BJ123" s="162"/>
      <c r="BK123" s="162"/>
      <c r="BL123" s="162"/>
      <c r="BM123" s="162"/>
      <c r="BN123" s="162"/>
      <c r="BO123" s="162"/>
      <c r="BP123" s="162"/>
      <c r="BQ123" s="162"/>
      <c r="BR123" s="162"/>
      <c r="BS123" s="162"/>
      <c r="BV123" s="162"/>
      <c r="BW123" s="162"/>
      <c r="BX123" s="162"/>
      <c r="BY123" s="162"/>
      <c r="BZ123" s="162"/>
      <c r="CA123" s="162"/>
      <c r="CB123" s="162"/>
      <c r="CC123" s="162"/>
      <c r="CD123" s="162"/>
      <c r="CE123" s="162"/>
    </row>
    <row r="124" spans="1:83" ht="101.25" customHeight="1" x14ac:dyDescent="0.35">
      <c r="B124" s="444" t="s">
        <v>92</v>
      </c>
      <c r="C124" s="445"/>
      <c r="D124" s="445"/>
      <c r="E124" s="445"/>
      <c r="F124" s="445"/>
      <c r="G124" s="445"/>
      <c r="H124" s="445"/>
      <c r="I124" s="445"/>
      <c r="J124" s="445"/>
      <c r="K124" s="445"/>
      <c r="L124" s="445"/>
      <c r="M124" s="445"/>
      <c r="N124" s="446"/>
      <c r="P124" s="259"/>
      <c r="Q124" s="595"/>
      <c r="R124" s="595"/>
      <c r="S124" s="595"/>
      <c r="T124" s="595"/>
      <c r="U124" s="595"/>
      <c r="V124" s="595"/>
      <c r="W124" s="595"/>
      <c r="X124" s="218"/>
      <c r="Z124" s="587"/>
      <c r="AA124" s="587"/>
      <c r="AB124" s="587"/>
      <c r="AC124" s="587"/>
      <c r="AD124" s="587"/>
      <c r="AE124" s="587"/>
      <c r="AF124" s="587"/>
      <c r="AG124" s="218"/>
      <c r="AI124" s="587"/>
      <c r="AJ124" s="587"/>
      <c r="AK124" s="587"/>
      <c r="AL124" s="587"/>
      <c r="AM124" s="587"/>
      <c r="AN124" s="587"/>
      <c r="AO124" s="587"/>
      <c r="AP124" s="162"/>
      <c r="AR124" s="587"/>
      <c r="AS124" s="587"/>
      <c r="AT124" s="587"/>
      <c r="AU124" s="587"/>
      <c r="AV124" s="587"/>
      <c r="AW124" s="587"/>
      <c r="AX124" s="587"/>
      <c r="AY124" s="162"/>
      <c r="BA124" s="587"/>
      <c r="BB124" s="587"/>
      <c r="BC124" s="587"/>
      <c r="BD124" s="587"/>
      <c r="BE124" s="587"/>
      <c r="BF124" s="587"/>
      <c r="BG124" s="587"/>
      <c r="BH124" s="218"/>
      <c r="BJ124" s="162"/>
      <c r="BK124" s="162"/>
      <c r="BL124" s="162"/>
      <c r="BM124" s="162"/>
      <c r="BN124" s="162"/>
      <c r="BO124" s="162"/>
      <c r="BP124" s="162"/>
      <c r="BQ124" s="162"/>
      <c r="BR124" s="162"/>
      <c r="BS124" s="162"/>
      <c r="BV124" s="162"/>
      <c r="BW124" s="162"/>
      <c r="BX124" s="162"/>
      <c r="BY124" s="162"/>
      <c r="BZ124" s="162"/>
      <c r="CA124" s="162"/>
      <c r="CB124" s="162"/>
      <c r="CC124" s="162"/>
      <c r="CD124" s="162"/>
      <c r="CE124" s="162"/>
    </row>
    <row r="125" spans="1:83" x14ac:dyDescent="0.35">
      <c r="B125" s="359"/>
      <c r="C125" s="359"/>
      <c r="Q125" s="595"/>
      <c r="R125" s="595"/>
      <c r="S125" s="595"/>
      <c r="T125" s="595"/>
      <c r="U125" s="595"/>
      <c r="V125" s="595"/>
      <c r="W125" s="595"/>
      <c r="Z125" s="587"/>
      <c r="AA125" s="587"/>
      <c r="AB125" s="587"/>
      <c r="AC125" s="587"/>
      <c r="AD125" s="587"/>
      <c r="AE125" s="587"/>
      <c r="AF125" s="587"/>
      <c r="AI125" s="587"/>
      <c r="AJ125" s="587"/>
      <c r="AK125" s="587"/>
      <c r="AL125" s="587"/>
      <c r="AM125" s="587"/>
      <c r="AN125" s="587"/>
      <c r="AO125" s="587"/>
      <c r="AR125" s="587"/>
      <c r="AS125" s="587"/>
      <c r="AT125" s="587"/>
      <c r="AU125" s="587"/>
      <c r="AV125" s="587"/>
      <c r="AW125" s="587"/>
      <c r="AX125" s="587"/>
      <c r="BA125" s="587"/>
      <c r="BB125" s="587"/>
      <c r="BC125" s="587"/>
      <c r="BD125" s="587"/>
      <c r="BE125" s="587"/>
      <c r="BF125" s="587"/>
      <c r="BG125" s="587"/>
      <c r="BJ125" s="162"/>
      <c r="BK125" s="162"/>
      <c r="BL125" s="162"/>
      <c r="BM125" s="162"/>
      <c r="BN125" s="162"/>
      <c r="BO125" s="162"/>
      <c r="BP125" s="162"/>
    </row>
  </sheetData>
  <sheetProtection algorithmName="SHA-512" hashValue="ouQGb/6PwdqIjPB29d1F6pY7MH/2d4VOjSZGZIHR2yjRs0ZeMCptTLxGlysWFuTx5QBStXhgeiQW2q9/DSfvcw==" saltValue="tR0vIMIXow7w18nBP+emLA==" spinCount="100000" sheet="1" formatRows="0" selectLockedCells="1"/>
  <mergeCells count="269">
    <mergeCell ref="J38:K38"/>
    <mergeCell ref="J39:K39"/>
    <mergeCell ref="C51:E51"/>
    <mergeCell ref="F51:G51"/>
    <mergeCell ref="C52:E52"/>
    <mergeCell ref="F52:G52"/>
    <mergeCell ref="C42:E42"/>
    <mergeCell ref="F42:G42"/>
    <mergeCell ref="C43:E43"/>
    <mergeCell ref="F43:G43"/>
    <mergeCell ref="C44:E44"/>
    <mergeCell ref="F44:G44"/>
    <mergeCell ref="C39:E39"/>
    <mergeCell ref="F39:G39"/>
    <mergeCell ref="C40:E40"/>
    <mergeCell ref="F40:G40"/>
    <mergeCell ref="C41:E41"/>
    <mergeCell ref="F41:G41"/>
    <mergeCell ref="C38:E38"/>
    <mergeCell ref="F38:G38"/>
    <mergeCell ref="C45:E45"/>
    <mergeCell ref="F45:G45"/>
    <mergeCell ref="C46:E46"/>
    <mergeCell ref="F46:G46"/>
    <mergeCell ref="C47:E47"/>
    <mergeCell ref="F47:G47"/>
    <mergeCell ref="C37:K37"/>
    <mergeCell ref="C36:K36"/>
    <mergeCell ref="B57:N57"/>
    <mergeCell ref="B121:N121"/>
    <mergeCell ref="AI111:AO125"/>
    <mergeCell ref="B119:D119"/>
    <mergeCell ref="B120:D120"/>
    <mergeCell ref="Q120:W120"/>
    <mergeCell ref="Q111:W119"/>
    <mergeCell ref="Z111:AA111"/>
    <mergeCell ref="P109:P110"/>
    <mergeCell ref="Q109:W110"/>
    <mergeCell ref="Y109:Y110"/>
    <mergeCell ref="Z109:AF110"/>
    <mergeCell ref="AI109:AO110"/>
    <mergeCell ref="B103:C103"/>
    <mergeCell ref="B104:C104"/>
    <mergeCell ref="AI92:AO94"/>
    <mergeCell ref="B93:D93"/>
    <mergeCell ref="Q93:W94"/>
    <mergeCell ref="Y93:Y94"/>
    <mergeCell ref="Z93:AF94"/>
    <mergeCell ref="BV120:CE120"/>
    <mergeCell ref="B115:C115"/>
    <mergeCell ref="Z115:AA115"/>
    <mergeCell ref="B116:D116"/>
    <mergeCell ref="Z116:AF120"/>
    <mergeCell ref="Y117:Y118"/>
    <mergeCell ref="AH117:AH118"/>
    <mergeCell ref="B112:N112"/>
    <mergeCell ref="Z112:AF112"/>
    <mergeCell ref="B113:D113"/>
    <mergeCell ref="Z113:AF113"/>
    <mergeCell ref="B114:D114"/>
    <mergeCell ref="Z114:AA114"/>
    <mergeCell ref="AQ117:AQ118"/>
    <mergeCell ref="C118:D118"/>
    <mergeCell ref="AR111:AX125"/>
    <mergeCell ref="BA111:BG125"/>
    <mergeCell ref="Q121:W125"/>
    <mergeCell ref="Z121:AF121"/>
    <mergeCell ref="B122:N122"/>
    <mergeCell ref="Z122:AF125"/>
    <mergeCell ref="B124:N124"/>
    <mergeCell ref="B125:C125"/>
    <mergeCell ref="BJ111:BK111"/>
    <mergeCell ref="AQ109:AQ110"/>
    <mergeCell ref="BT107:BU107"/>
    <mergeCell ref="BV107:BZ107"/>
    <mergeCell ref="B108:C108"/>
    <mergeCell ref="R108:V108"/>
    <mergeCell ref="AK108:AO108"/>
    <mergeCell ref="BC108:BG108"/>
    <mergeCell ref="BV108:BZ108"/>
    <mergeCell ref="AR109:AX110"/>
    <mergeCell ref="AZ109:AZ110"/>
    <mergeCell ref="BA109:BG110"/>
    <mergeCell ref="BV110:CE110"/>
    <mergeCell ref="BM105:BQ107"/>
    <mergeCell ref="D107:K107"/>
    <mergeCell ref="P107:Q107"/>
    <mergeCell ref="R107:AA107"/>
    <mergeCell ref="AI107:AJ107"/>
    <mergeCell ref="AK107:AT107"/>
    <mergeCell ref="BA107:BB107"/>
    <mergeCell ref="BC107:BL107"/>
    <mergeCell ref="BJ88:BP88"/>
    <mergeCell ref="BV88:CE88"/>
    <mergeCell ref="B89:N89"/>
    <mergeCell ref="Q89:W89"/>
    <mergeCell ref="BA89:BG89"/>
    <mergeCell ref="BJ89:BP102"/>
    <mergeCell ref="BV89:CE94"/>
    <mergeCell ref="B90:D90"/>
    <mergeCell ref="Q90:R90"/>
    <mergeCell ref="BA90:BG102"/>
    <mergeCell ref="BV96:CE96"/>
    <mergeCell ref="B97:C97"/>
    <mergeCell ref="Q97:W97"/>
    <mergeCell ref="Z97:AF97"/>
    <mergeCell ref="AI97:AO97"/>
    <mergeCell ref="AR97:AX97"/>
    <mergeCell ref="BV97:CE100"/>
    <mergeCell ref="B98:D98"/>
    <mergeCell ref="Q98:W102"/>
    <mergeCell ref="Z98:AF102"/>
    <mergeCell ref="AI98:AO102"/>
    <mergeCell ref="AR98:AX102"/>
    <mergeCell ref="B99:N99"/>
    <mergeCell ref="B100:N100"/>
    <mergeCell ref="B102:N102"/>
    <mergeCell ref="C96:D96"/>
    <mergeCell ref="Z78:AF83"/>
    <mergeCell ref="AI78:AO83"/>
    <mergeCell ref="B91:D91"/>
    <mergeCell ref="B92:C92"/>
    <mergeCell ref="AR93:AX94"/>
    <mergeCell ref="C94:D94"/>
    <mergeCell ref="C95:D95"/>
    <mergeCell ref="Q95:R95"/>
    <mergeCell ref="Z95:AA95"/>
    <mergeCell ref="AI95:AJ95"/>
    <mergeCell ref="AR95:AS95"/>
    <mergeCell ref="AQ93:AQ94"/>
    <mergeCell ref="D86:K86"/>
    <mergeCell ref="Q86:R86"/>
    <mergeCell ref="Z88:AF91"/>
    <mergeCell ref="AI88:AO90"/>
    <mergeCell ref="AR88:AX91"/>
    <mergeCell ref="BV86:BZ86"/>
    <mergeCell ref="CA86:CE87"/>
    <mergeCell ref="R87:W87"/>
    <mergeCell ref="AK87:AO87"/>
    <mergeCell ref="BD87:BH87"/>
    <mergeCell ref="S86:AB86"/>
    <mergeCell ref="AI86:AJ86"/>
    <mergeCell ref="AK86:AT86"/>
    <mergeCell ref="BA86:BB86"/>
    <mergeCell ref="BC86:BL86"/>
    <mergeCell ref="BT86:BU86"/>
    <mergeCell ref="BJ73:BP74"/>
    <mergeCell ref="Z74:AA74"/>
    <mergeCell ref="AC74:AD74"/>
    <mergeCell ref="AE74:AF74"/>
    <mergeCell ref="AI74:AJ74"/>
    <mergeCell ref="AR74:AX83"/>
    <mergeCell ref="B72:M72"/>
    <mergeCell ref="Z72:AF73"/>
    <mergeCell ref="AI72:AO73"/>
    <mergeCell ref="AR72:AX73"/>
    <mergeCell ref="Q73:W74"/>
    <mergeCell ref="BA73:BG74"/>
    <mergeCell ref="B80:D80"/>
    <mergeCell ref="B81:N81"/>
    <mergeCell ref="B82:N82"/>
    <mergeCell ref="B83:N83"/>
    <mergeCell ref="B79:D79"/>
    <mergeCell ref="Q75:W83"/>
    <mergeCell ref="BA75:BG83"/>
    <mergeCell ref="BJ75:BP83"/>
    <mergeCell ref="B76:D76"/>
    <mergeCell ref="Z76:AF77"/>
    <mergeCell ref="AI76:AO77"/>
    <mergeCell ref="B77:D77"/>
    <mergeCell ref="BA63:BB63"/>
    <mergeCell ref="BJ63:BP71"/>
    <mergeCell ref="AR68:AS68"/>
    <mergeCell ref="Z69:AA69"/>
    <mergeCell ref="BA69:BG70"/>
    <mergeCell ref="Q70:W70"/>
    <mergeCell ref="Q71:R71"/>
    <mergeCell ref="BA71:BB71"/>
    <mergeCell ref="B65:C65"/>
    <mergeCell ref="Q66:W66"/>
    <mergeCell ref="Z66:AF68"/>
    <mergeCell ref="AI66:AO67"/>
    <mergeCell ref="AR66:AX67"/>
    <mergeCell ref="BA66:BG66"/>
    <mergeCell ref="B67:M67"/>
    <mergeCell ref="Q67:R67"/>
    <mergeCell ref="BA67:BB67"/>
    <mergeCell ref="AI68:AJ68"/>
    <mergeCell ref="F48:G48"/>
    <mergeCell ref="B63:D63"/>
    <mergeCell ref="Q63:T63"/>
    <mergeCell ref="Z63:AA63"/>
    <mergeCell ref="AI63:AJ63"/>
    <mergeCell ref="AR63:AS63"/>
    <mergeCell ref="C49:E49"/>
    <mergeCell ref="F49:G49"/>
    <mergeCell ref="C50:E50"/>
    <mergeCell ref="F50:G50"/>
    <mergeCell ref="B62:N62"/>
    <mergeCell ref="Q62:W62"/>
    <mergeCell ref="Z62:AF62"/>
    <mergeCell ref="AI62:AO62"/>
    <mergeCell ref="AR62:AX62"/>
    <mergeCell ref="BA62:BG62"/>
    <mergeCell ref="BJ62:BP62"/>
    <mergeCell ref="L41:N41"/>
    <mergeCell ref="L42:N42"/>
    <mergeCell ref="L43:N43"/>
    <mergeCell ref="L44:N44"/>
    <mergeCell ref="L45:N45"/>
    <mergeCell ref="L46:N46"/>
    <mergeCell ref="L47:N47"/>
    <mergeCell ref="BD58:BK58"/>
    <mergeCell ref="BL58:BP59"/>
    <mergeCell ref="J59:N59"/>
    <mergeCell ref="R59:W59"/>
    <mergeCell ref="AK59:AO59"/>
    <mergeCell ref="BD59:BH59"/>
    <mergeCell ref="D58:K58"/>
    <mergeCell ref="P58:Q58"/>
    <mergeCell ref="R58:AA58"/>
    <mergeCell ref="AI58:AJ58"/>
    <mergeCell ref="AK58:AT58"/>
    <mergeCell ref="BB58:BC58"/>
    <mergeCell ref="C53:E53"/>
    <mergeCell ref="F53:G53"/>
    <mergeCell ref="C48:E48"/>
    <mergeCell ref="D2:L2"/>
    <mergeCell ref="A5:F5"/>
    <mergeCell ref="B7:N7"/>
    <mergeCell ref="B8:N8"/>
    <mergeCell ref="E13:M13"/>
    <mergeCell ref="D19:M19"/>
    <mergeCell ref="J33:N33"/>
    <mergeCell ref="B11:K11"/>
    <mergeCell ref="L11:N11"/>
    <mergeCell ref="D21:E21"/>
    <mergeCell ref="F21:G21"/>
    <mergeCell ref="D24:F24"/>
    <mergeCell ref="B9:N9"/>
    <mergeCell ref="B10:N10"/>
    <mergeCell ref="C27:F27"/>
    <mergeCell ref="C15:N15"/>
    <mergeCell ref="C31:I31"/>
    <mergeCell ref="C29:F29"/>
    <mergeCell ref="C34:G34"/>
    <mergeCell ref="H34:I34"/>
    <mergeCell ref="L48:N48"/>
    <mergeCell ref="L49:N49"/>
    <mergeCell ref="L50:N50"/>
    <mergeCell ref="L51:N51"/>
    <mergeCell ref="L52:N52"/>
    <mergeCell ref="L53:N53"/>
    <mergeCell ref="J40:K40"/>
    <mergeCell ref="J41:K41"/>
    <mergeCell ref="J42:K42"/>
    <mergeCell ref="J43:K43"/>
    <mergeCell ref="J44:K44"/>
    <mergeCell ref="J45:K45"/>
    <mergeCell ref="J46:K46"/>
    <mergeCell ref="J47:K47"/>
    <mergeCell ref="J48:K48"/>
    <mergeCell ref="J49:K49"/>
    <mergeCell ref="J50:K50"/>
    <mergeCell ref="J51:K51"/>
    <mergeCell ref="J52:K52"/>
    <mergeCell ref="J53:K53"/>
    <mergeCell ref="L39:N39"/>
    <mergeCell ref="L40:N40"/>
  </mergeCells>
  <conditionalFormatting sqref="B100">
    <cfRule type="expression" dxfId="348" priority="1050">
      <formula>B100&gt;""</formula>
    </cfRule>
  </conditionalFormatting>
  <conditionalFormatting sqref="B122">
    <cfRule type="expression" dxfId="347" priority="922">
      <formula>B122&gt;""</formula>
    </cfRule>
  </conditionalFormatting>
  <conditionalFormatting sqref="B99:C99">
    <cfRule type="expression" dxfId="346" priority="1047" stopIfTrue="1">
      <formula>AND(N97&lt;&gt;"",N98&lt;0.7,B100="")</formula>
    </cfRule>
    <cfRule type="expression" dxfId="345" priority="1027" stopIfTrue="1">
      <formula>AND(N98&gt;=0.7,N98&lt;&gt;0,N98&lt;=100%,B100="")</formula>
    </cfRule>
    <cfRule type="expression" dxfId="344" priority="457">
      <formula>AND(N97="",N98="",B99&lt;&gt;"")</formula>
    </cfRule>
  </conditionalFormatting>
  <conditionalFormatting sqref="B121:D121">
    <cfRule type="expression" dxfId="343" priority="921" stopIfTrue="1">
      <formula>AND(N120&lt;0.7,B121&lt;&gt;"")</formula>
    </cfRule>
    <cfRule type="expression" dxfId="342" priority="918" stopIfTrue="1">
      <formula>AND(N120&gt;=0.7,B121&lt;&gt;"")</formula>
    </cfRule>
  </conditionalFormatting>
  <conditionalFormatting sqref="B81:N81">
    <cfRule type="expression" dxfId="340" priority="529">
      <formula>AND(N80&gt;=0.7,B81&lt;&gt;"")</formula>
    </cfRule>
    <cfRule type="expression" dxfId="339" priority="530">
      <formula>AND(N80&lt;0.7,B81&lt;&gt;"")</formula>
    </cfRule>
  </conditionalFormatting>
  <conditionalFormatting sqref="B82:N82">
    <cfRule type="expression" dxfId="338" priority="1011">
      <formula>B82&gt;""</formula>
    </cfRule>
  </conditionalFormatting>
  <conditionalFormatting sqref="C38:E38">
    <cfRule type="expression" dxfId="337" priority="194">
      <formula>$C$38&lt;&gt;""</formula>
    </cfRule>
  </conditionalFormatting>
  <conditionalFormatting sqref="C39:G39">
    <cfRule type="expression" dxfId="335" priority="150">
      <formula>$H$34&gt;=1</formula>
    </cfRule>
  </conditionalFormatting>
  <conditionalFormatting sqref="C40:G40">
    <cfRule type="expression" dxfId="334" priority="137">
      <formula>$H$34&gt;=2</formula>
    </cfRule>
  </conditionalFormatting>
  <conditionalFormatting sqref="C41:G41">
    <cfRule type="expression" dxfId="333" priority="136">
      <formula>$H$34&gt;=3</formula>
    </cfRule>
  </conditionalFormatting>
  <conditionalFormatting sqref="C42:G42">
    <cfRule type="expression" dxfId="332" priority="135">
      <formula>$H$34&gt;=4</formula>
    </cfRule>
  </conditionalFormatting>
  <conditionalFormatting sqref="C43:G43">
    <cfRule type="expression" dxfId="331" priority="134">
      <formula>$H$34&gt;=5</formula>
    </cfRule>
  </conditionalFormatting>
  <conditionalFormatting sqref="C44:G44">
    <cfRule type="expression" dxfId="330" priority="133">
      <formula>$H$34&gt;=6</formula>
    </cfRule>
  </conditionalFormatting>
  <conditionalFormatting sqref="C45:G45">
    <cfRule type="expression" dxfId="329" priority="132">
      <formula>$H$34&gt;=7</formula>
    </cfRule>
  </conditionalFormatting>
  <conditionalFormatting sqref="C46:G46">
    <cfRule type="expression" dxfId="328" priority="131">
      <formula>$H$34&gt;=8</formula>
    </cfRule>
  </conditionalFormatting>
  <conditionalFormatting sqref="C47:G47">
    <cfRule type="expression" dxfId="327" priority="130">
      <formula>$H$34&gt;=9</formula>
    </cfRule>
  </conditionalFormatting>
  <conditionalFormatting sqref="C48:G48">
    <cfRule type="expression" dxfId="326" priority="129">
      <formula>$H$34&gt;=10</formula>
    </cfRule>
  </conditionalFormatting>
  <conditionalFormatting sqref="C49:G49">
    <cfRule type="expression" dxfId="325" priority="128">
      <formula>$H$34&gt;=11</formula>
    </cfRule>
  </conditionalFormatting>
  <conditionalFormatting sqref="C50:G50">
    <cfRule type="expression" dxfId="324" priority="127">
      <formula>$H$34&gt;=12</formula>
    </cfRule>
  </conditionalFormatting>
  <conditionalFormatting sqref="C51:G51">
    <cfRule type="expression" dxfId="323" priority="126">
      <formula>$H$34&gt;=13</formula>
    </cfRule>
  </conditionalFormatting>
  <conditionalFormatting sqref="C52:G52">
    <cfRule type="expression" dxfId="322" priority="123">
      <formula>$H$34&gt;=14</formula>
    </cfRule>
  </conditionalFormatting>
  <conditionalFormatting sqref="C53:G53">
    <cfRule type="expression" dxfId="321" priority="122">
      <formula>$H$34&gt;=15</formula>
    </cfRule>
  </conditionalFormatting>
  <conditionalFormatting sqref="C31:I31">
    <cfRule type="expression" dxfId="320" priority="61">
      <formula>AND($G$27="Yes",$G$29="Yes")</formula>
    </cfRule>
  </conditionalFormatting>
  <conditionalFormatting sqref="C36:K36">
    <cfRule type="expression" dxfId="319" priority="10">
      <formula>$C$36&lt;&gt;""</formula>
    </cfRule>
  </conditionalFormatting>
  <conditionalFormatting sqref="C37:K37">
    <cfRule type="expression" dxfId="318" priority="153">
      <formula>AND($G$29="No",$C$36&lt;&gt;"")</formula>
    </cfRule>
    <cfRule type="expression" dxfId="317" priority="59">
      <formula>AND($G$29="Yes",$C$36&lt;&gt;"")</formula>
    </cfRule>
  </conditionalFormatting>
  <conditionalFormatting sqref="E63:E66 F64:M65 E68:E71 F71:M71 E73:E78 F76:M78 F90:M92 E90:E95 F93:N93 E97:N97 F113:M116 E113:E118 E119:M119">
    <cfRule type="expression" dxfId="316" priority="454">
      <formula>AND($D$4&lt;&gt;YEAR($E$65), $E$65&lt;&gt;0)</formula>
    </cfRule>
  </conditionalFormatting>
  <conditionalFormatting sqref="E78:E80 F79:M79">
    <cfRule type="expression" dxfId="315" priority="643">
      <formula>AND($E$79&gt;100%,$E$78&lt;&gt;"")</formula>
    </cfRule>
  </conditionalFormatting>
  <conditionalFormatting sqref="E80">
    <cfRule type="expression" dxfId="314" priority="992">
      <formula>AND($E$80&gt;=0.7,$E$80&lt;&gt;"",$B$82="")</formula>
    </cfRule>
    <cfRule type="expression" dxfId="313" priority="991">
      <formula>AND($E$80&lt;0.7,$E$79&lt;=100%,$E$79&gt;0,$B$82="")</formula>
    </cfRule>
  </conditionalFormatting>
  <conditionalFormatting sqref="E93">
    <cfRule type="expression" dxfId="312" priority="446">
      <formula>AND(E93&lt;E94,B100&lt;&gt;"")</formula>
    </cfRule>
  </conditionalFormatting>
  <conditionalFormatting sqref="E94">
    <cfRule type="expression" dxfId="311" priority="15367">
      <formula>AND(E96&gt;E94,B100&lt;&gt;"")</formula>
    </cfRule>
  </conditionalFormatting>
  <conditionalFormatting sqref="E95">
    <cfRule type="expression" dxfId="310" priority="448">
      <formula>AND(E95&lt;&gt;"",E96&lt;&gt;"",E95&gt;E96,B100&lt;&gt;"")</formula>
    </cfRule>
  </conditionalFormatting>
  <conditionalFormatting sqref="E119:E120 E116">
    <cfRule type="expression" dxfId="309" priority="919" stopIfTrue="1">
      <formula>AND($E$120&gt;100%,$E$119&lt;&gt;"")</formula>
    </cfRule>
  </conditionalFormatting>
  <conditionalFormatting sqref="E120">
    <cfRule type="expression" dxfId="308" priority="917" stopIfTrue="1">
      <formula>AND($E$120&gt;=0.7,$E$120&lt;=100%,$B$122="")</formula>
    </cfRule>
    <cfRule type="expression" dxfId="307" priority="920" stopIfTrue="1">
      <formula>AND($E$120&lt;0.7,$E$117&lt;&gt;"",$E$118&lt;&gt;"",$B$122="")</formula>
    </cfRule>
  </conditionalFormatting>
  <conditionalFormatting sqref="E98:M98">
    <cfRule type="expression" dxfId="306" priority="994" stopIfTrue="1">
      <formula>AND(E$98&gt;=0.7,E$98&lt;=100%,$B$100="")</formula>
    </cfRule>
    <cfRule type="expression" dxfId="305" priority="1045" stopIfTrue="1">
      <formula>AND(E$98&lt;0.7,E$94&lt;&gt;"",E$95&lt;&gt;"",E$96&lt;&gt;"",$B$100="")</formula>
    </cfRule>
  </conditionalFormatting>
  <conditionalFormatting sqref="F66 F63 F68:F70 F73:F75 F94:F96 E96 F117:F118">
    <cfRule type="expression" dxfId="304" priority="1010">
      <formula>AND($D$4&lt;&gt;YEAR($F$65), $F$65&lt;&gt;0)</formula>
    </cfRule>
  </conditionalFormatting>
  <conditionalFormatting sqref="F78 F80">
    <cfRule type="expression" dxfId="303" priority="642">
      <formula>AND($F$79&gt;100%,$F$78&lt;&gt;"")</formula>
    </cfRule>
  </conditionalFormatting>
  <conditionalFormatting sqref="F80 F78 F66">
    <cfRule type="expression" dxfId="302" priority="1009" stopIfTrue="1">
      <formula>AND($F$79&gt;100%,$F$78&lt;&gt;"")</formula>
    </cfRule>
  </conditionalFormatting>
  <conditionalFormatting sqref="F80">
    <cfRule type="expression" dxfId="301" priority="1007">
      <formula>AND($F$80&gt;=0.7,$F$80&lt;&gt;"",$B$82="")</formula>
    </cfRule>
    <cfRule type="expression" dxfId="300" priority="1008">
      <formula>AND($F$80&lt;0.7,$F$79&lt;=100%,$F$79&gt;0,$B$82="")</formula>
    </cfRule>
  </conditionalFormatting>
  <conditionalFormatting sqref="F93">
    <cfRule type="expression" dxfId="299" priority="445">
      <formula>AND(F93&lt;F94,B100&lt;&gt;"")</formula>
    </cfRule>
  </conditionalFormatting>
  <conditionalFormatting sqref="F94">
    <cfRule type="expression" dxfId="298" priority="15369">
      <formula>AND(F96&gt;F94,B100&lt;&gt;"")</formula>
    </cfRule>
  </conditionalFormatting>
  <conditionalFormatting sqref="F95">
    <cfRule type="expression" dxfId="297" priority="429">
      <formula>AND(F95&lt;&gt;"",F96&lt;&gt;"",F95&gt;F96,B100&lt;&gt;"")</formula>
    </cfRule>
  </conditionalFormatting>
  <conditionalFormatting sqref="F96">
    <cfRule type="expression" dxfId="296" priority="15385">
      <formula>AND(F95&gt;F96,F95&lt;&gt;"",F96&lt;&gt;"")</formula>
    </cfRule>
  </conditionalFormatting>
  <conditionalFormatting sqref="F119:F120 F116">
    <cfRule type="expression" dxfId="295" priority="915">
      <formula>AND($F$120&gt;100%,$F$119&lt;&gt;"")</formula>
    </cfRule>
  </conditionalFormatting>
  <conditionalFormatting sqref="F120">
    <cfRule type="expression" dxfId="294" priority="487">
      <formula>AND($F$120&gt;=0.7,$F$120&lt;=100%,$B$122="")</formula>
    </cfRule>
    <cfRule type="expression" dxfId="293" priority="388">
      <formula>AND($F$120&gt;100%,$F$119&lt;&gt;"")</formula>
    </cfRule>
    <cfRule type="expression" dxfId="292" priority="495">
      <formula>AND($F$120&lt;0.7,$F$117&lt;&gt;"",$F$118&lt;&gt;"",$B$122="")</formula>
    </cfRule>
  </conditionalFormatting>
  <conditionalFormatting sqref="F38:G38">
    <cfRule type="expression" dxfId="291" priority="2773">
      <formula>$F$38&lt;&gt;""</formula>
    </cfRule>
  </conditionalFormatting>
  <conditionalFormatting sqref="G27">
    <cfRule type="expression" dxfId="290" priority="9">
      <formula>$G$27&lt;&gt;""</formula>
    </cfRule>
  </conditionalFormatting>
  <conditionalFormatting sqref="G29">
    <cfRule type="expression" dxfId="289" priority="57">
      <formula>$G$29&lt;&gt;""</formula>
    </cfRule>
  </conditionalFormatting>
  <conditionalFormatting sqref="G63 G66 G68:G70 G73:G75 G94:G96 G117:G118">
    <cfRule type="expression" dxfId="288" priority="1006">
      <formula>AND($D$4&lt;&gt;YEAR($G$65), $G$65&lt;&gt;0)</formula>
    </cfRule>
  </conditionalFormatting>
  <conditionalFormatting sqref="G80 G78">
    <cfRule type="expression" dxfId="287" priority="1028" stopIfTrue="1">
      <formula>AND($G$79&gt;100%,$G$78&lt;&gt;"")</formula>
    </cfRule>
  </conditionalFormatting>
  <conditionalFormatting sqref="G80">
    <cfRule type="expression" dxfId="286" priority="989">
      <formula>AND($G$80&gt;=0.7,$G$80&lt;&gt;"",$B$82="")</formula>
    </cfRule>
    <cfRule type="expression" dxfId="285" priority="990">
      <formula>AND($G$80&lt;0.7,$G$79&lt;=100%,$G$79&gt;0,$B$82="")</formula>
    </cfRule>
  </conditionalFormatting>
  <conditionalFormatting sqref="G93">
    <cfRule type="expression" dxfId="284" priority="444">
      <formula>AND(G93&lt;G94,B100&lt;&gt;"")</formula>
    </cfRule>
  </conditionalFormatting>
  <conditionalFormatting sqref="G94">
    <cfRule type="expression" dxfId="283" priority="15371">
      <formula>AND(G96&gt;G94,B100&lt;&gt;"")</formula>
    </cfRule>
  </conditionalFormatting>
  <conditionalFormatting sqref="G95">
    <cfRule type="expression" dxfId="282" priority="428">
      <formula>AND(G95&lt;&gt;"",G96&lt;&gt;"",G95&gt;G96,B100&lt;&gt;"")</formula>
    </cfRule>
  </conditionalFormatting>
  <conditionalFormatting sqref="G96">
    <cfRule type="expression" dxfId="281" priority="449">
      <formula>"AND(G85&gt;G86,G85&lt;&gt;"""",G86&lt;&gt;"""")"</formula>
    </cfRule>
  </conditionalFormatting>
  <conditionalFormatting sqref="G98">
    <cfRule type="expression" dxfId="280" priority="466">
      <formula>AND($G$98&gt;=0.7,$G$98&lt;=100%,G98&lt;&gt;0,$B$100="")</formula>
    </cfRule>
    <cfRule type="expression" dxfId="279" priority="479">
      <formula>AND($G$98&lt;0.7,$G$95&lt;&gt;"",$G$96&lt;&gt;"",$B$100="")</formula>
    </cfRule>
  </conditionalFormatting>
  <conditionalFormatting sqref="G119:G120 G116">
    <cfRule type="expression" dxfId="278" priority="824">
      <formula>AND($G$120&gt;100%,$G$119&lt;&gt;"")</formula>
    </cfRule>
  </conditionalFormatting>
  <conditionalFormatting sqref="G120">
    <cfRule type="expression" dxfId="277" priority="486">
      <formula>AND($G$120&gt;=0.7,$G$120&lt;=100%,$B$122="")</formula>
    </cfRule>
    <cfRule type="expression" dxfId="276" priority="387">
      <formula>AND($G$120&gt;100%,$G$119&lt;&gt;"")</formula>
    </cfRule>
    <cfRule type="expression" dxfId="275" priority="494">
      <formula>AND($G$120&lt;0.7,$G$117&lt;&gt;"",$G$118&lt;&gt;"",$B$122="")</formula>
    </cfRule>
  </conditionalFormatting>
  <conditionalFormatting sqref="H38">
    <cfRule type="expression" dxfId="274" priority="55">
      <formula>$I$38&lt;&gt;""</formula>
    </cfRule>
  </conditionalFormatting>
  <conditionalFormatting sqref="H39">
    <cfRule type="expression" dxfId="273" priority="56">
      <formula>$H$34&gt;=1</formula>
    </cfRule>
  </conditionalFormatting>
  <conditionalFormatting sqref="H39:H53">
    <cfRule type="expression" dxfId="272" priority="11">
      <formula>H39="No"</formula>
    </cfRule>
    <cfRule type="expression" dxfId="271" priority="12">
      <formula>H39="Yes"</formula>
    </cfRule>
  </conditionalFormatting>
  <conditionalFormatting sqref="H40">
    <cfRule type="expression" dxfId="270" priority="52">
      <formula>$H$34&gt;=2</formula>
    </cfRule>
  </conditionalFormatting>
  <conditionalFormatting sqref="H41">
    <cfRule type="expression" dxfId="269" priority="49">
      <formula>$H$34&gt;=3</formula>
    </cfRule>
  </conditionalFormatting>
  <conditionalFormatting sqref="H42">
    <cfRule type="expression" dxfId="268" priority="46">
      <formula>$H$34&gt;=4</formula>
    </cfRule>
  </conditionalFormatting>
  <conditionalFormatting sqref="H43">
    <cfRule type="expression" dxfId="267" priority="43">
      <formula>$H$34&gt;=5</formula>
    </cfRule>
  </conditionalFormatting>
  <conditionalFormatting sqref="H44">
    <cfRule type="expression" dxfId="266" priority="40">
      <formula>$H$34&gt;=6</formula>
    </cfRule>
  </conditionalFormatting>
  <conditionalFormatting sqref="H45">
    <cfRule type="expression" dxfId="265" priority="37">
      <formula>$H$34&gt;=7</formula>
    </cfRule>
  </conditionalFormatting>
  <conditionalFormatting sqref="H46">
    <cfRule type="expression" dxfId="264" priority="34">
      <formula>$H$34&gt;=8</formula>
    </cfRule>
  </conditionalFormatting>
  <conditionalFormatting sqref="H47">
    <cfRule type="expression" dxfId="263" priority="31">
      <formula>$H$34&gt;=9</formula>
    </cfRule>
  </conditionalFormatting>
  <conditionalFormatting sqref="H48">
    <cfRule type="expression" dxfId="262" priority="28">
      <formula>$H$34&gt;=10</formula>
    </cfRule>
  </conditionalFormatting>
  <conditionalFormatting sqref="H49">
    <cfRule type="expression" dxfId="261" priority="25">
      <formula>$H$34&gt;=11</formula>
    </cfRule>
  </conditionalFormatting>
  <conditionalFormatting sqref="H50">
    <cfRule type="expression" dxfId="260" priority="22">
      <formula>$H$34&gt;=12</formula>
    </cfRule>
  </conditionalFormatting>
  <conditionalFormatting sqref="H51">
    <cfRule type="expression" dxfId="259" priority="19">
      <formula>$H$34&gt;=13</formula>
    </cfRule>
  </conditionalFormatting>
  <conditionalFormatting sqref="H52">
    <cfRule type="expression" dxfId="258" priority="16">
      <formula>$H$34&gt;=14</formula>
    </cfRule>
  </conditionalFormatting>
  <conditionalFormatting sqref="H53">
    <cfRule type="expression" dxfId="257" priority="13">
      <formula>$H$34&gt;=15</formula>
    </cfRule>
  </conditionalFormatting>
  <conditionalFormatting sqref="H63 H66 H68:H70 H73:H75 H94:H96 H117:H118">
    <cfRule type="expression" dxfId="256" priority="472">
      <formula>AND($D$4&lt;&gt;YEAR($H$65), $H$65&lt;&gt;0)</formula>
    </cfRule>
  </conditionalFormatting>
  <conditionalFormatting sqref="H66">
    <cfRule type="expression" dxfId="255" priority="813">
      <formula>AND($H$79&gt;100%,$H$78&lt;&gt;"")</formula>
    </cfRule>
  </conditionalFormatting>
  <conditionalFormatting sqref="H80 H78">
    <cfRule type="expression" dxfId="254" priority="1003">
      <formula>AND($H$79&gt;100%,$H$78&lt;&gt;"")</formula>
    </cfRule>
  </conditionalFormatting>
  <conditionalFormatting sqref="H80">
    <cfRule type="expression" dxfId="253" priority="536">
      <formula>AND($H$80&gt;=0.7,$H$80&lt;&gt;"",$B$82="")</formula>
    </cfRule>
    <cfRule type="expression" dxfId="252" priority="733">
      <formula>AND($H$80&lt;0.7,$H$79&lt;=100%,$H$79&gt;0,$B$82="")</formula>
    </cfRule>
  </conditionalFormatting>
  <conditionalFormatting sqref="H93">
    <cfRule type="expression" dxfId="251" priority="443">
      <formula>AND(H93&lt;H94,B100&lt;&gt;"")</formula>
    </cfRule>
  </conditionalFormatting>
  <conditionalFormatting sqref="H94">
    <cfRule type="expression" dxfId="250" priority="15373">
      <formula>AND(H96&gt;H94,B100&lt;&gt;"")</formula>
    </cfRule>
  </conditionalFormatting>
  <conditionalFormatting sqref="H95">
    <cfRule type="expression" dxfId="249" priority="427">
      <formula>AND(H95&lt;&gt;"",H96&lt;&gt;"",H95&gt;H96,B100&lt;&gt;"")</formula>
    </cfRule>
  </conditionalFormatting>
  <conditionalFormatting sqref="H98">
    <cfRule type="expression" dxfId="248" priority="478">
      <formula>AND($H$98&lt;0.7,$H$95&lt;&gt;"",$H$96&lt;&gt;"",$B$100="")</formula>
    </cfRule>
    <cfRule type="expression" dxfId="247" priority="465">
      <formula>AND($H$98&gt;=0.7,$H$98&lt;=100%,H98&lt;&gt;0,$B$100="")</formula>
    </cfRule>
  </conditionalFormatting>
  <conditionalFormatting sqref="H119:H120 H116">
    <cfRule type="expression" dxfId="246" priority="913">
      <formula>AND($H$120&gt;100%,$H$119&lt;&gt;"")</formula>
    </cfRule>
  </conditionalFormatting>
  <conditionalFormatting sqref="H120">
    <cfRule type="expression" dxfId="245" priority="493">
      <formula>AND($H$120&lt;0.7,$H$117&lt;&gt;"",$H$118&lt;&gt;"",$B$122="")</formula>
    </cfRule>
    <cfRule type="expression" dxfId="244" priority="386">
      <formula>AND($H$120&gt;100%,$H$119&lt;&gt;"")</formula>
    </cfRule>
    <cfRule type="expression" dxfId="243" priority="485">
      <formula>AND($H$120&gt;=0.7,$H$120&lt;=100%,$B$122="")</formula>
    </cfRule>
  </conditionalFormatting>
  <conditionalFormatting sqref="H34:I34">
    <cfRule type="expression" dxfId="242" priority="152">
      <formula>$C$34&lt;&gt;""</formula>
    </cfRule>
  </conditionalFormatting>
  <conditionalFormatting sqref="I38">
    <cfRule type="expression" dxfId="241" priority="2770">
      <formula>$I$38&lt;&gt;""</formula>
    </cfRule>
  </conditionalFormatting>
  <conditionalFormatting sqref="I39">
    <cfRule type="expression" dxfId="240" priority="15662">
      <formula>$H$34&gt;=1</formula>
    </cfRule>
  </conditionalFormatting>
  <conditionalFormatting sqref="I40">
    <cfRule type="expression" dxfId="239" priority="117">
      <formula>$H$34&gt;=2</formula>
    </cfRule>
  </conditionalFormatting>
  <conditionalFormatting sqref="I41">
    <cfRule type="expression" dxfId="238" priority="114">
      <formula>$H$34&gt;=3</formula>
    </cfRule>
  </conditionalFormatting>
  <conditionalFormatting sqref="I42">
    <cfRule type="expression" dxfId="237" priority="111">
      <formula>$H$34&gt;=4</formula>
    </cfRule>
  </conditionalFormatting>
  <conditionalFormatting sqref="I43">
    <cfRule type="expression" dxfId="236" priority="108">
      <formula>$H$34&gt;=5</formula>
    </cfRule>
  </conditionalFormatting>
  <conditionalFormatting sqref="I44">
    <cfRule type="expression" dxfId="235" priority="105">
      <formula>$H$34&gt;=6</formula>
    </cfRule>
  </conditionalFormatting>
  <conditionalFormatting sqref="I45">
    <cfRule type="expression" dxfId="234" priority="102">
      <formula>$H$34&gt;=7</formula>
    </cfRule>
  </conditionalFormatting>
  <conditionalFormatting sqref="I46">
    <cfRule type="expression" dxfId="233" priority="99">
      <formula>$H$34&gt;=8</formula>
    </cfRule>
  </conditionalFormatting>
  <conditionalFormatting sqref="I47">
    <cfRule type="expression" dxfId="232" priority="96">
      <formula>$H$34&gt;=9</formula>
    </cfRule>
  </conditionalFormatting>
  <conditionalFormatting sqref="I48">
    <cfRule type="expression" dxfId="231" priority="93">
      <formula>$H$34&gt;=10</formula>
    </cfRule>
  </conditionalFormatting>
  <conditionalFormatting sqref="I49">
    <cfRule type="expression" dxfId="230" priority="90">
      <formula>$H$34&gt;=11</formula>
    </cfRule>
  </conditionalFormatting>
  <conditionalFormatting sqref="I50">
    <cfRule type="expression" dxfId="229" priority="87">
      <formula>$H$34&gt;=12</formula>
    </cfRule>
  </conditionalFormatting>
  <conditionalFormatting sqref="I51">
    <cfRule type="expression" dxfId="228" priority="84">
      <formula>$H$34&gt;=13</formula>
    </cfRule>
  </conditionalFormatting>
  <conditionalFormatting sqref="I52">
    <cfRule type="expression" dxfId="227" priority="81">
      <formula>$H$34&gt;=14</formula>
    </cfRule>
  </conditionalFormatting>
  <conditionalFormatting sqref="I53">
    <cfRule type="expression" dxfId="226" priority="78">
      <formula>$H$34&gt;=15</formula>
    </cfRule>
  </conditionalFormatting>
  <conditionalFormatting sqref="I63 I66 I68:I70 I73:I75 I94:I96 I117:I118">
    <cfRule type="expression" dxfId="225" priority="1002">
      <formula>AND($D$4&lt;&gt;YEAR($I$65), $I$65&lt;&gt;0)</formula>
    </cfRule>
  </conditionalFormatting>
  <conditionalFormatting sqref="I66">
    <cfRule type="expression" dxfId="224" priority="812">
      <formula>AND($I$79&gt;100%,$I$78&lt;&gt;"")</formula>
    </cfRule>
  </conditionalFormatting>
  <conditionalFormatting sqref="I80 I78">
    <cfRule type="expression" dxfId="223" priority="999">
      <formula>AND($I$79&gt;100%,$I$78&lt;&gt;"")</formula>
    </cfRule>
  </conditionalFormatting>
  <conditionalFormatting sqref="I80">
    <cfRule type="expression" dxfId="222" priority="732">
      <formula>AND($I$80&lt;0.7,$I$79&lt;=100%,$I$79&gt;0,$B$82="")</formula>
    </cfRule>
    <cfRule type="expression" dxfId="221" priority="535">
      <formula>AND($I$80&gt;=0.7,$I$80&lt;&gt;"",$B$82="")</formula>
    </cfRule>
  </conditionalFormatting>
  <conditionalFormatting sqref="I93">
    <cfRule type="expression" dxfId="220" priority="442">
      <formula>AND(I93&lt;I94,B100&lt;&gt;"")</formula>
    </cfRule>
  </conditionalFormatting>
  <conditionalFormatting sqref="I94">
    <cfRule type="expression" dxfId="219" priority="15375">
      <formula>AND(I96&gt;I94,B100&lt;&gt;"")</formula>
    </cfRule>
  </conditionalFormatting>
  <conditionalFormatting sqref="I95">
    <cfRule type="expression" dxfId="218" priority="426">
      <formula>AND(I95&lt;&gt;"",I96&lt;&gt;"",I95&gt;I96,B100&lt;&gt;"")</formula>
    </cfRule>
  </conditionalFormatting>
  <conditionalFormatting sqref="I98">
    <cfRule type="expression" dxfId="217" priority="477">
      <formula>AND($I$98&lt;0.7,$I$95&lt;&gt;"",$I$96&lt;&gt;"",$B$100="")</formula>
    </cfRule>
    <cfRule type="expression" dxfId="216" priority="464">
      <formula>AND($I$98&gt;=0.7,$I$98&lt;=100%,I98&lt;&gt;0,$B$100="")</formula>
    </cfRule>
  </conditionalFormatting>
  <conditionalFormatting sqref="I119:I120 I116">
    <cfRule type="expression" dxfId="215" priority="823">
      <formula>AND($I$120&gt;100%,$I$119&lt;&gt;"")</formula>
    </cfRule>
  </conditionalFormatting>
  <conditionalFormatting sqref="I120">
    <cfRule type="expression" dxfId="214" priority="484">
      <formula>AND($I$120&gt;=0.7,$I$120&lt;=100%,$B$122="")</formula>
    </cfRule>
    <cfRule type="expression" dxfId="213" priority="385">
      <formula>AND($I$120&gt;100%,$I$119&lt;&gt;"")</formula>
    </cfRule>
    <cfRule type="expression" dxfId="212" priority="492">
      <formula>AND($I$120&lt;0.7,$I$117&lt;&gt;"",$I$118&lt;&gt;"",$B$122="")</formula>
    </cfRule>
  </conditionalFormatting>
  <conditionalFormatting sqref="J31">
    <cfRule type="expression" dxfId="211" priority="60">
      <formula>AND($G$27="Yes",$G$29="Yes")</formula>
    </cfRule>
  </conditionalFormatting>
  <conditionalFormatting sqref="J59">
    <cfRule type="expression" dxfId="210" priority="15363">
      <formula>AND(#REF!&lt;&gt;"",#REF!=0)</formula>
    </cfRule>
  </conditionalFormatting>
  <conditionalFormatting sqref="J63 J66 J68:J70 J73:J75 J94:J96 J117:J118">
    <cfRule type="expression" dxfId="209" priority="470">
      <formula>AND($D$4&lt;&gt;YEAR($J$65), $J$65&lt;&gt;0)</formula>
    </cfRule>
  </conditionalFormatting>
  <conditionalFormatting sqref="J66">
    <cfRule type="expression" dxfId="208" priority="811">
      <formula>AND($J$79&gt;100%,$J$78&lt;&gt;"")</formula>
    </cfRule>
  </conditionalFormatting>
  <conditionalFormatting sqref="J80 J78">
    <cfRule type="expression" dxfId="207" priority="995">
      <formula>AND($J$79&gt;100%,$J$78&lt;&gt;"")</formula>
    </cfRule>
  </conditionalFormatting>
  <conditionalFormatting sqref="J80">
    <cfRule type="expression" dxfId="206" priority="534">
      <formula>AND($J$80&gt;=0.7,$J$80&lt;&gt;"",$B$82="")</formula>
    </cfRule>
    <cfRule type="expression" dxfId="205" priority="731">
      <formula>AND($J$80&lt;0.7,$J$79&lt;=100%,$J$79&gt;0,$B$82="")</formula>
    </cfRule>
  </conditionalFormatting>
  <conditionalFormatting sqref="J87">
    <cfRule type="expression" dxfId="204" priority="12371">
      <formula>AND(#REF!&lt;&gt;"",#REF!=0)</formula>
    </cfRule>
  </conditionalFormatting>
  <conditionalFormatting sqref="J93">
    <cfRule type="expression" dxfId="203" priority="441">
      <formula>AND(J93&lt;J94,B100&lt;&gt;"")</formula>
    </cfRule>
  </conditionalFormatting>
  <conditionalFormatting sqref="J94">
    <cfRule type="expression" dxfId="202" priority="15377">
      <formula>AND(J96&gt;J94,B100&lt;&gt;"")</formula>
    </cfRule>
  </conditionalFormatting>
  <conditionalFormatting sqref="J95">
    <cfRule type="expression" dxfId="201" priority="425">
      <formula>AND(J95&lt;&gt;"",J96&lt;&gt;"",J95&gt;J96,B100&lt;&gt;"")</formula>
    </cfRule>
  </conditionalFormatting>
  <conditionalFormatting sqref="J98">
    <cfRule type="expression" dxfId="200" priority="476">
      <formula>AND($J$98&lt;0.7,$J$95&lt;&gt;"",$J$96&lt;&gt;"",$B$100="")</formula>
    </cfRule>
    <cfRule type="expression" dxfId="199" priority="463">
      <formula>AND($J$98&gt;=0.7,$J$98&lt;=100%,J98&lt;&gt;0,$B$100="")</formula>
    </cfRule>
  </conditionalFormatting>
  <conditionalFormatting sqref="J119:J120 J116">
    <cfRule type="expression" dxfId="198" priority="912">
      <formula>AND($J$120&gt;100%,$J$119&lt;&gt;"")</formula>
    </cfRule>
  </conditionalFormatting>
  <conditionalFormatting sqref="J120">
    <cfRule type="expression" dxfId="197" priority="483">
      <formula>AND($J$120&gt;=0.7,$J$120&lt;=100%,$B$122="")</formula>
    </cfRule>
    <cfRule type="expression" dxfId="196" priority="491">
      <formula>AND($J$120&lt;0.7,$J$117&lt;&gt;"",$J$118&lt;&gt;"",$B$122="")</formula>
    </cfRule>
    <cfRule type="expression" dxfId="195" priority="384">
      <formula>AND($J$120&gt;100%,$J$119&lt;&gt;"")</formula>
    </cfRule>
  </conditionalFormatting>
  <conditionalFormatting sqref="J38:K38">
    <cfRule type="expression" dxfId="194" priority="193">
      <formula>$J$38&lt;&gt;""</formula>
    </cfRule>
  </conditionalFormatting>
  <conditionalFormatting sqref="J39:K39">
    <cfRule type="expression" dxfId="193" priority="15631">
      <formula>AND($G$29="Yes",$H$34&gt;=1)</formula>
    </cfRule>
  </conditionalFormatting>
  <conditionalFormatting sqref="J40:K40">
    <cfRule type="expression" dxfId="192" priority="75">
      <formula>AND($G$29="Yes",$H$34&gt;=2)</formula>
    </cfRule>
  </conditionalFormatting>
  <conditionalFormatting sqref="J41:K41">
    <cfRule type="expression" dxfId="191" priority="74">
      <formula>AND($G$29="Yes",$H$34&gt;=3)</formula>
    </cfRule>
  </conditionalFormatting>
  <conditionalFormatting sqref="J42:K42">
    <cfRule type="expression" dxfId="190" priority="73">
      <formula>AND($G$29="Yes",$H$34&gt;=4)</formula>
    </cfRule>
  </conditionalFormatting>
  <conditionalFormatting sqref="J43:K43">
    <cfRule type="expression" dxfId="189" priority="72">
      <formula>AND($G$29="Yes",$H$34&gt;=5)</formula>
    </cfRule>
  </conditionalFormatting>
  <conditionalFormatting sqref="J44:K44">
    <cfRule type="expression" dxfId="188" priority="71">
      <formula>AND($G$29="Yes",$H$34&gt;=6)</formula>
    </cfRule>
  </conditionalFormatting>
  <conditionalFormatting sqref="J45:K45">
    <cfRule type="expression" dxfId="187" priority="70">
      <formula>AND($G$29="Yes",$H$34&gt;=7)</formula>
    </cfRule>
  </conditionalFormatting>
  <conditionalFormatting sqref="J46:K46">
    <cfRule type="expression" dxfId="186" priority="69">
      <formula>AND($G$29="Yes",$H$34&gt;=8)</formula>
    </cfRule>
  </conditionalFormatting>
  <conditionalFormatting sqref="J47:K47">
    <cfRule type="expression" dxfId="185" priority="68">
      <formula>AND($G$29="Yes",$H$34&gt;=9)</formula>
    </cfRule>
  </conditionalFormatting>
  <conditionalFormatting sqref="J48:K48">
    <cfRule type="expression" dxfId="184" priority="67">
      <formula>AND($G$29="Yes",$H$34&gt;=10)</formula>
    </cfRule>
  </conditionalFormatting>
  <conditionalFormatting sqref="J49:K49">
    <cfRule type="expression" dxfId="183" priority="66">
      <formula>AND($G$29="Yes",$H$34&gt;=11)</formula>
    </cfRule>
  </conditionalFormatting>
  <conditionalFormatting sqref="J50:K50">
    <cfRule type="expression" dxfId="182" priority="65">
      <formula>AND($G$29="Yes",$H$34&gt;=12)</formula>
    </cfRule>
  </conditionalFormatting>
  <conditionalFormatting sqref="J51:K51">
    <cfRule type="expression" dxfId="181" priority="64">
      <formula>AND($G$29="Yes",$H$34&gt;=13)</formula>
    </cfRule>
  </conditionalFormatting>
  <conditionalFormatting sqref="J52:K52">
    <cfRule type="expression" dxfId="180" priority="63">
      <formula>AND($G$29="Yes",$H$34&gt;=14)</formula>
    </cfRule>
  </conditionalFormatting>
  <conditionalFormatting sqref="J53:K53">
    <cfRule type="expression" dxfId="179" priority="62">
      <formula>AND($G$29="Yes",$H$34&gt;=15)</formula>
    </cfRule>
  </conditionalFormatting>
  <conditionalFormatting sqref="K63 K66 K68:K70 K73:K75 K94:K96 K117:K118">
    <cfRule type="expression" dxfId="177" priority="1001">
      <formula>AND($D$4&lt;&gt;YEAR($K$65), $K$65&lt;&gt;0)</formula>
    </cfRule>
  </conditionalFormatting>
  <conditionalFormatting sqref="K66">
    <cfRule type="expression" dxfId="176" priority="810">
      <formula>AND($K$79&gt;100%,$K$78&lt;&gt;"")</formula>
    </cfRule>
  </conditionalFormatting>
  <conditionalFormatting sqref="K80 K78">
    <cfRule type="expression" dxfId="175" priority="998">
      <formula>AND($K$79&gt;100%,$K$78&lt;&gt;"")</formula>
    </cfRule>
  </conditionalFormatting>
  <conditionalFormatting sqref="K80">
    <cfRule type="expression" dxfId="174" priority="533">
      <formula>AND($K$80&gt;=0.7,$K$80&lt;&gt;"",$B$82="")</formula>
    </cfRule>
    <cfRule type="expression" dxfId="173" priority="730">
      <formula>AND($K$80&lt;0.7,$K$79&lt;=100%,$K$79&gt;0,$B$82="")</formula>
    </cfRule>
  </conditionalFormatting>
  <conditionalFormatting sqref="K93">
    <cfRule type="expression" dxfId="172" priority="440">
      <formula>AND(K93&lt;K94,B100&lt;&gt;"")</formula>
    </cfRule>
  </conditionalFormatting>
  <conditionalFormatting sqref="K94">
    <cfRule type="expression" dxfId="171" priority="15379">
      <formula>AND(K96&gt;K94,B100&lt;&gt;"")</formula>
    </cfRule>
  </conditionalFormatting>
  <conditionalFormatting sqref="K95">
    <cfRule type="expression" dxfId="170" priority="424">
      <formula>AND(K95&lt;&gt;"",K96&lt;&gt;"",K95&gt;K96,B100&lt;&gt;"")</formula>
    </cfRule>
  </conditionalFormatting>
  <conditionalFormatting sqref="K98">
    <cfRule type="expression" dxfId="169" priority="475">
      <formula>AND($K$98&lt;0.7,$K$95&lt;&gt;"",$K$96&lt;&gt;"",$B$100="")</formula>
    </cfRule>
    <cfRule type="expression" dxfId="168" priority="462">
      <formula>AND($K$98&gt;=0.7,$K$98&lt;=100%,K98&lt;&gt;0,$B$100="")</formula>
    </cfRule>
  </conditionalFormatting>
  <conditionalFormatting sqref="K119:K120 K116">
    <cfRule type="expression" dxfId="167" priority="911">
      <formula>AND($K$120&gt;100%,$K$119&lt;&gt;"")</formula>
    </cfRule>
  </conditionalFormatting>
  <conditionalFormatting sqref="K120">
    <cfRule type="expression" dxfId="166" priority="482">
      <formula>AND($K$120&gt;=0.7,$K$120&lt;=100%,$B$122="")</formula>
    </cfRule>
    <cfRule type="expression" dxfId="165" priority="490">
      <formula>AND($K$120&lt;0.7,$K$117&lt;&gt;"",$K$118&lt;&gt;"",$B$122="")</formula>
    </cfRule>
    <cfRule type="expression" dxfId="164" priority="383">
      <formula>AND($K$120&gt;100%,$K$119&lt;&gt;"")</formula>
    </cfRule>
  </conditionalFormatting>
  <conditionalFormatting sqref="L63 L66 L68:L70 L73:L75 L94:L96 L117:L118">
    <cfRule type="expression" dxfId="163" priority="1000">
      <formula>AND($D$4&lt;&gt;YEAR($L$65), $L$65&lt;&gt;0)</formula>
    </cfRule>
  </conditionalFormatting>
  <conditionalFormatting sqref="L66">
    <cfRule type="expression" dxfId="162" priority="809">
      <formula>AND($L$79&gt;100%,$L$78&lt;&gt;"")</formula>
    </cfRule>
  </conditionalFormatting>
  <conditionalFormatting sqref="L80 L78">
    <cfRule type="expression" dxfId="161" priority="997">
      <formula>AND($L$79&gt;100%,$L$78&lt;&gt;"")</formula>
    </cfRule>
  </conditionalFormatting>
  <conditionalFormatting sqref="L80">
    <cfRule type="expression" dxfId="160" priority="532">
      <formula>AND($L$80&gt;=0.7,$L$80&lt;&gt;"",$B$82="")</formula>
    </cfRule>
    <cfRule type="expression" dxfId="159" priority="729">
      <formula>AND($L$80&lt;0.7,$L$79&lt;=100%,$L$79&gt;0,$B$82="")</formula>
    </cfRule>
  </conditionalFormatting>
  <conditionalFormatting sqref="L93">
    <cfRule type="expression" dxfId="158" priority="439">
      <formula>AND(L93&lt;L94,B100&lt;&gt;"")</formula>
    </cfRule>
  </conditionalFormatting>
  <conditionalFormatting sqref="L94">
    <cfRule type="expression" dxfId="157" priority="15381">
      <formula>AND(L96&gt;L94,B100&lt;&gt;"")</formula>
    </cfRule>
  </conditionalFormatting>
  <conditionalFormatting sqref="L95">
    <cfRule type="expression" dxfId="156" priority="423">
      <formula>AND(L95&lt;&gt;"",L96&lt;&gt;"",L95&gt;L96,B100&lt;&gt;"")</formula>
    </cfRule>
  </conditionalFormatting>
  <conditionalFormatting sqref="L98">
    <cfRule type="expression" dxfId="155" priority="461">
      <formula>AND($L$98&gt;=0.7,$L$98&lt;=100%,L98&lt;&gt;0,$B$100="")</formula>
    </cfRule>
    <cfRule type="expression" dxfId="154" priority="474">
      <formula>AND($L$98&lt;0.7,$L$95&lt;&gt;"",$L$96&lt;&gt;"",$B$100="")</formula>
    </cfRule>
  </conditionalFormatting>
  <conditionalFormatting sqref="L119:L120 L116">
    <cfRule type="expression" dxfId="153" priority="910">
      <formula>AND($L$120&gt;100%,$L$119&lt;&gt;"")</formula>
    </cfRule>
  </conditionalFormatting>
  <conditionalFormatting sqref="L120">
    <cfRule type="expression" dxfId="152" priority="489">
      <formula>AND($L$120&lt;0.7,$L$117&lt;&gt;"",$L$118&lt;&gt;"",$B$122="")</formula>
    </cfRule>
    <cfRule type="expression" dxfId="151" priority="481">
      <formula>AND($L$120&gt;=0.7,$L$120&lt;=100%,$B$122="")</formula>
    </cfRule>
    <cfRule type="expression" dxfId="150" priority="382">
      <formula>AND($L$120&gt;100%,$L$119&lt;&gt;"")</formula>
    </cfRule>
  </conditionalFormatting>
  <conditionalFormatting sqref="M63 M66 M68:M70 M73:M75 M94:M96 M117:M118">
    <cfRule type="expression" dxfId="149" priority="467">
      <formula>AND($D$4&lt;&gt;YEAR($M$65), $M$65&lt;&gt;0)</formula>
    </cfRule>
  </conditionalFormatting>
  <conditionalFormatting sqref="M66">
    <cfRule type="expression" dxfId="148" priority="808">
      <formula>AND($M$79&gt;100%,$M$78&lt;&gt;"")</formula>
    </cfRule>
  </conditionalFormatting>
  <conditionalFormatting sqref="M80 M78">
    <cfRule type="expression" dxfId="147" priority="996">
      <formula>AND($M$79&gt;100%,$M$78&lt;&gt;"")</formula>
    </cfRule>
  </conditionalFormatting>
  <conditionalFormatting sqref="M80">
    <cfRule type="expression" dxfId="146" priority="531">
      <formula>AND($M$80&gt;=0.7,$M$80&lt;&gt;"",$B$82="")</formula>
    </cfRule>
    <cfRule type="expression" dxfId="145" priority="728">
      <formula>AND($M$80&lt;0.7,$M$79&lt;=100%,$M$79&gt;0,$B$82="")</formula>
    </cfRule>
  </conditionalFormatting>
  <conditionalFormatting sqref="M93">
    <cfRule type="expression" dxfId="144" priority="438">
      <formula>AND(M93&lt;M94,B100&lt;&gt;"")</formula>
    </cfRule>
  </conditionalFormatting>
  <conditionalFormatting sqref="M94">
    <cfRule type="expression" dxfId="143" priority="15383">
      <formula>AND(M96&gt;M94,B100&lt;&gt;"")</formula>
    </cfRule>
  </conditionalFormatting>
  <conditionalFormatting sqref="M95">
    <cfRule type="expression" dxfId="142" priority="422">
      <formula>AND(M95&lt;&gt;"",M96&lt;&gt;"",M95&gt;M96,B100&lt;&gt;"")</formula>
    </cfRule>
  </conditionalFormatting>
  <conditionalFormatting sqref="M98">
    <cfRule type="expression" dxfId="141" priority="460">
      <formula>AND($M$98&gt;=0.7,$M$98&lt;=100%,M98&lt;&gt;0,$B$100="")</formula>
    </cfRule>
    <cfRule type="expression" dxfId="140" priority="473">
      <formula>AND($M$98&lt;0.7,$M$95&lt;&gt;"",$M$96&lt;&gt;"",$B$100="")</formula>
    </cfRule>
  </conditionalFormatting>
  <conditionalFormatting sqref="M119:M120 M116">
    <cfRule type="expression" dxfId="139" priority="822">
      <formula>AND($M$120&gt;100%,$M$119&lt;&gt;"")</formula>
    </cfRule>
  </conditionalFormatting>
  <conditionalFormatting sqref="M120">
    <cfRule type="expression" dxfId="138" priority="381">
      <formula>AND($M$120&gt;100%,$M$119&lt;&gt;"")</formula>
    </cfRule>
    <cfRule type="expression" dxfId="137" priority="480">
      <formula>AND($M$120&gt;=0.7,$M$120&lt;=100%,$B$122="")</formula>
    </cfRule>
    <cfRule type="expression" dxfId="136" priority="488">
      <formula>AND($M$120&lt;0.7,$M$117&lt;&gt;"",$M$118&lt;&gt;"",$B$122="")</formula>
    </cfRule>
  </conditionalFormatting>
  <conditionalFormatting sqref="N80">
    <cfRule type="expression" dxfId="135" priority="1004">
      <formula>AND($N$80&lt;0.7,$N$79&lt;=100%,$B$82="")</formula>
    </cfRule>
    <cfRule type="expression" dxfId="134" priority="1005">
      <formula>AND($N$80&gt;=0.7,$B$82="")</formula>
    </cfRule>
  </conditionalFormatting>
  <conditionalFormatting sqref="N98">
    <cfRule type="expression" dxfId="133" priority="988">
      <formula>AND($N$98&gt;=0.7,$N$98&lt;=100%,$B$100="")</formula>
    </cfRule>
    <cfRule type="expression" dxfId="132" priority="993">
      <formula>AND($N$97&lt;&gt;"",$N$98&lt;0.7,$B$100="")</formula>
    </cfRule>
  </conditionalFormatting>
  <conditionalFormatting sqref="N120">
    <cfRule type="expression" dxfId="131" priority="916">
      <formula>AND($N$117&lt;&gt;"",$N$118&lt;&gt;"",$N$120&lt;0.7,$N$120&lt;&gt;"",$B$122="")</formula>
    </cfRule>
    <cfRule type="expression" dxfId="130" priority="914">
      <formula>AND($N$120&gt;=0.7,$N$120&lt;=100%,$B$122="")</formula>
    </cfRule>
  </conditionalFormatting>
  <conditionalFormatting sqref="O13">
    <cfRule type="expression" dxfId="129" priority="12047">
      <formula>AND($D$17&lt;&gt;"",#REF!&lt;&gt;"",#REF!="")</formula>
    </cfRule>
  </conditionalFormatting>
  <conditionalFormatting sqref="O17">
    <cfRule type="expression" dxfId="128" priority="1070">
      <formula>P17=1</formula>
    </cfRule>
  </conditionalFormatting>
  <conditionalFormatting sqref="O19">
    <cfRule type="expression" dxfId="127" priority="575">
      <formula>P19=1</formula>
    </cfRule>
  </conditionalFormatting>
  <conditionalFormatting sqref="O21">
    <cfRule type="expression" dxfId="126" priority="574">
      <formula>P21=1</formula>
    </cfRule>
  </conditionalFormatting>
  <conditionalFormatting sqref="O24">
    <cfRule type="expression" dxfId="125" priority="573">
      <formula>P24=1</formula>
    </cfRule>
  </conditionalFormatting>
  <conditionalFormatting sqref="O31">
    <cfRule type="expression" dxfId="123" priority="154">
      <formula>$O$31&lt;&gt;""</formula>
    </cfRule>
  </conditionalFormatting>
  <conditionalFormatting sqref="O34">
    <cfRule type="expression" dxfId="122" priority="288">
      <formula>$O$34&lt;&gt;""</formula>
    </cfRule>
  </conditionalFormatting>
  <conditionalFormatting sqref="O63:O65">
    <cfRule type="expression" dxfId="121" priority="155">
      <formula>P63=1</formula>
    </cfRule>
  </conditionalFormatting>
  <conditionalFormatting sqref="O68:O69">
    <cfRule type="expression" dxfId="120" priority="577">
      <formula>P68=1</formula>
    </cfRule>
  </conditionalFormatting>
  <conditionalFormatting sqref="O70">
    <cfRule type="expression" dxfId="119" priority="579">
      <formula>$O$70&lt;&gt;""</formula>
    </cfRule>
  </conditionalFormatting>
  <conditionalFormatting sqref="O73:O75">
    <cfRule type="expression" dxfId="118" priority="580">
      <formula>P73=1</formula>
    </cfRule>
  </conditionalFormatting>
  <conditionalFormatting sqref="O80">
    <cfRule type="expression" dxfId="117" priority="583">
      <formula>P80=1</formula>
    </cfRule>
  </conditionalFormatting>
  <conditionalFormatting sqref="O94:O96">
    <cfRule type="expression" dxfId="116" priority="391">
      <formula>O94&lt;&gt;""</formula>
    </cfRule>
  </conditionalFormatting>
  <conditionalFormatting sqref="O98">
    <cfRule type="expression" dxfId="115" priority="390">
      <formula>O98&lt;&gt;""</formula>
    </cfRule>
  </conditionalFormatting>
  <conditionalFormatting sqref="O117:O118">
    <cfRule type="expression" dxfId="114" priority="540">
      <formula>P117=1</formula>
    </cfRule>
  </conditionalFormatting>
  <conditionalFormatting sqref="O120">
    <cfRule type="expression" dxfId="113" priority="539">
      <formula>P119=1</formula>
    </cfRule>
  </conditionalFormatting>
  <conditionalFormatting sqref="O39:P53">
    <cfRule type="expression" dxfId="112" priority="158">
      <formula>P39=1</formula>
    </cfRule>
  </conditionalFormatting>
  <conditionalFormatting sqref="Q63">
    <cfRule type="expression" dxfId="111" priority="987">
      <formula>P62&lt;&gt;""</formula>
    </cfRule>
  </conditionalFormatting>
  <conditionalFormatting sqref="Q67">
    <cfRule type="expression" dxfId="110" priority="986">
      <formula>P62&lt;&gt;""</formula>
    </cfRule>
  </conditionalFormatting>
  <conditionalFormatting sqref="Q71">
    <cfRule type="expression" dxfId="109" priority="949">
      <formula>P62&lt;&gt;""</formula>
    </cfRule>
  </conditionalFormatting>
  <conditionalFormatting sqref="Q93">
    <cfRule type="expression" dxfId="108" priority="418">
      <formula>$Q$90="No"</formula>
    </cfRule>
  </conditionalFormatting>
  <conditionalFormatting sqref="Q97">
    <cfRule type="expression" dxfId="107" priority="416">
      <formula>$Q$90="No"</formula>
    </cfRule>
  </conditionalFormatting>
  <conditionalFormatting sqref="Q90:R90">
    <cfRule type="expression" dxfId="106" priority="419">
      <formula>#REF!&lt;&gt;""</formula>
    </cfRule>
  </conditionalFormatting>
  <conditionalFormatting sqref="Q111:R111">
    <cfRule type="expression" dxfId="105" priority="610">
      <formula>$P$109&lt;&gt;""</formula>
    </cfRule>
  </conditionalFormatting>
  <conditionalFormatting sqref="Q75:W83">
    <cfRule type="expression" dxfId="104" priority="948">
      <formula>P62&lt;&gt;""</formula>
    </cfRule>
  </conditionalFormatting>
  <conditionalFormatting sqref="Q98:W102">
    <cfRule type="expression" dxfId="103" priority="415">
      <formula>$Q$90="Yes"</formula>
    </cfRule>
  </conditionalFormatting>
  <conditionalFormatting sqref="Q121:W125">
    <cfRule type="expression" dxfId="102" priority="611">
      <formula>P109&lt;&gt;""</formula>
    </cfRule>
  </conditionalFormatting>
  <conditionalFormatting sqref="X63">
    <cfRule type="expression" dxfId="101" priority="344">
      <formula>X63&lt;&gt;""</formula>
    </cfRule>
  </conditionalFormatting>
  <conditionalFormatting sqref="X67">
    <cfRule type="expression" dxfId="100" priority="342">
      <formula>X67&lt;&gt;""</formula>
    </cfRule>
  </conditionalFormatting>
  <conditionalFormatting sqref="X71">
    <cfRule type="expression" dxfId="99" priority="341">
      <formula>X71&lt;&gt;""</formula>
    </cfRule>
  </conditionalFormatting>
  <conditionalFormatting sqref="X78">
    <cfRule type="expression" dxfId="98" priority="340">
      <formula>X78&lt;&gt;""</formula>
    </cfRule>
  </conditionalFormatting>
  <conditionalFormatting sqref="X90">
    <cfRule type="expression" dxfId="97" priority="321">
      <formula>$X$90&lt;&gt;""</formula>
    </cfRule>
  </conditionalFormatting>
  <conditionalFormatting sqref="X95">
    <cfRule type="expression" dxfId="96" priority="320">
      <formula>$X$95&lt;&gt;""</formula>
    </cfRule>
  </conditionalFormatting>
  <conditionalFormatting sqref="X98">
    <cfRule type="expression" dxfId="95" priority="319">
      <formula>$X$98&lt;&gt;""</formula>
    </cfRule>
  </conditionalFormatting>
  <conditionalFormatting sqref="X111">
    <cfRule type="expression" dxfId="94" priority="301">
      <formula>$X$111&lt;&gt;""</formula>
    </cfRule>
  </conditionalFormatting>
  <conditionalFormatting sqref="X121">
    <cfRule type="expression" dxfId="93" priority="300">
      <formula>$X$121&lt;&gt;""</formula>
    </cfRule>
  </conditionalFormatting>
  <conditionalFormatting sqref="Z63">
    <cfRule type="expression" dxfId="92" priority="947">
      <formula>P62&lt;&gt;""</formula>
    </cfRule>
  </conditionalFormatting>
  <conditionalFormatting sqref="Z69">
    <cfRule type="expression" dxfId="91" priority="946">
      <formula>P62&lt;&gt;""</formula>
    </cfRule>
  </conditionalFormatting>
  <conditionalFormatting sqref="Z74">
    <cfRule type="expression" dxfId="90" priority="945">
      <formula>P62&lt;&gt;""</formula>
    </cfRule>
  </conditionalFormatting>
  <conditionalFormatting sqref="Z98">
    <cfRule type="expression" dxfId="89" priority="421">
      <formula>#REF!&lt;&gt;""</formula>
    </cfRule>
  </conditionalFormatting>
  <conditionalFormatting sqref="Z111">
    <cfRule type="expression" dxfId="88" priority="909">
      <formula>$P$109&lt;&gt;""</formula>
    </cfRule>
  </conditionalFormatting>
  <conditionalFormatting sqref="Z121">
    <cfRule type="expression" dxfId="87" priority="908">
      <formula>AND(N122&lt;0.7,N122&lt;&gt;0,B124="")</formula>
    </cfRule>
  </conditionalFormatting>
  <conditionalFormatting sqref="Z122">
    <cfRule type="expression" dxfId="86" priority="923">
      <formula>Z111="Yes"</formula>
    </cfRule>
  </conditionalFormatting>
  <conditionalFormatting sqref="Z95:AA95">
    <cfRule type="expression" dxfId="85" priority="412">
      <formula>#REF!&lt;&gt;""</formula>
    </cfRule>
  </conditionalFormatting>
  <conditionalFormatting sqref="Z114:AA114">
    <cfRule type="expression" dxfId="84" priority="608">
      <formula>Z111="Yes"</formula>
    </cfRule>
  </conditionalFormatting>
  <conditionalFormatting sqref="Z78:AF83">
    <cfRule type="expression" dxfId="83" priority="943">
      <formula>P62&lt;&gt;""</formula>
    </cfRule>
  </conditionalFormatting>
  <conditionalFormatting sqref="Z88:AF91 Q95:R95">
    <cfRule type="expression" dxfId="82" priority="417">
      <formula>$Q$90="Yes"</formula>
    </cfRule>
  </conditionalFormatting>
  <conditionalFormatting sqref="Z112:AF112">
    <cfRule type="expression" dxfId="81" priority="609">
      <formula>Z111="No"</formula>
    </cfRule>
  </conditionalFormatting>
  <conditionalFormatting sqref="Z116:AF120">
    <cfRule type="expression" dxfId="80" priority="607">
      <formula>Z111="Yes"</formula>
    </cfRule>
  </conditionalFormatting>
  <conditionalFormatting sqref="AE74">
    <cfRule type="expression" dxfId="79" priority="944">
      <formula>($Z$74="No")</formula>
    </cfRule>
  </conditionalFormatting>
  <conditionalFormatting sqref="AG63">
    <cfRule type="expression" dxfId="78" priority="336">
      <formula>AG63&lt;&gt;""</formula>
    </cfRule>
  </conditionalFormatting>
  <conditionalFormatting sqref="AG69">
    <cfRule type="expression" dxfId="77" priority="337">
      <formula>AG69&lt;&gt;""</formula>
    </cfRule>
  </conditionalFormatting>
  <conditionalFormatting sqref="AG74">
    <cfRule type="expression" dxfId="76" priority="338">
      <formula>AG74&lt;&gt;""</formula>
    </cfRule>
  </conditionalFormatting>
  <conditionalFormatting sqref="AG78">
    <cfRule type="expression" dxfId="75" priority="339">
      <formula>AG78&lt;&gt;""</formula>
    </cfRule>
  </conditionalFormatting>
  <conditionalFormatting sqref="AG95">
    <cfRule type="expression" dxfId="74" priority="317">
      <formula>$AG$95&lt;&gt;""</formula>
    </cfRule>
  </conditionalFormatting>
  <conditionalFormatting sqref="AG98">
    <cfRule type="expression" dxfId="73" priority="316">
      <formula>$AG$98&lt;&gt;""</formula>
    </cfRule>
  </conditionalFormatting>
  <conditionalFormatting sqref="AG111">
    <cfRule type="expression" dxfId="72" priority="299">
      <formula>$AG$111&lt;&gt;""</formula>
    </cfRule>
  </conditionalFormatting>
  <conditionalFormatting sqref="AG114">
    <cfRule type="expression" dxfId="71" priority="298">
      <formula>$AG$114&lt;&gt;""</formula>
    </cfRule>
  </conditionalFormatting>
  <conditionalFormatting sqref="AG116">
    <cfRule type="expression" dxfId="70" priority="297">
      <formula>$AG$117&lt;&gt;""</formula>
    </cfRule>
  </conditionalFormatting>
  <conditionalFormatting sqref="AG119:AG120">
    <cfRule type="expression" dxfId="69" priority="925">
      <formula>AND(U120&lt;0.7,U120&lt;&gt;0,I122="")</formula>
    </cfRule>
  </conditionalFormatting>
  <conditionalFormatting sqref="AG122">
    <cfRule type="expression" dxfId="68" priority="296">
      <formula>$AG$122&lt;&gt;""</formula>
    </cfRule>
  </conditionalFormatting>
  <conditionalFormatting sqref="AI63">
    <cfRule type="expression" dxfId="67" priority="942">
      <formula>P62&lt;&gt;""</formula>
    </cfRule>
  </conditionalFormatting>
  <conditionalFormatting sqref="AI68">
    <cfRule type="expression" dxfId="66" priority="941">
      <formula>AI63="Yes"</formula>
    </cfRule>
  </conditionalFormatting>
  <conditionalFormatting sqref="AI74 AI78:AO83">
    <cfRule type="expression" dxfId="65" priority="940">
      <formula>$AI$63="Yes"</formula>
    </cfRule>
  </conditionalFormatting>
  <conditionalFormatting sqref="AI97 AP97">
    <cfRule type="expression" dxfId="64" priority="409">
      <formula>AI95="Yes"</formula>
    </cfRule>
  </conditionalFormatting>
  <conditionalFormatting sqref="AI95:AJ95">
    <cfRule type="expression" dxfId="63" priority="410">
      <formula>#REF!&lt;&gt;""</formula>
    </cfRule>
  </conditionalFormatting>
  <conditionalFormatting sqref="AI66:AO67">
    <cfRule type="expression" dxfId="62" priority="939">
      <formula>$AI$63="No"</formula>
    </cfRule>
  </conditionalFormatting>
  <conditionalFormatting sqref="AI72:AO73">
    <cfRule type="expression" dxfId="61" priority="938">
      <formula>$AI$63="No"</formula>
    </cfRule>
  </conditionalFormatting>
  <conditionalFormatting sqref="AI76:AO77">
    <cfRule type="expression" dxfId="60" priority="937">
      <formula>$AI$63="No"</formula>
    </cfRule>
  </conditionalFormatting>
  <conditionalFormatting sqref="AI88:AO90 AR88:AX91">
    <cfRule type="expression" dxfId="59" priority="420">
      <formula>#REF!&lt;&gt;""</formula>
    </cfRule>
  </conditionalFormatting>
  <conditionalFormatting sqref="AI98:AO102">
    <cfRule type="expression" dxfId="58" priority="408">
      <formula>AI95="No"</formula>
    </cfRule>
  </conditionalFormatting>
  <conditionalFormatting sqref="AI111:AO125">
    <cfRule type="expression" dxfId="57" priority="606">
      <formula>$P$109&lt;&gt;""</formula>
    </cfRule>
  </conditionalFormatting>
  <conditionalFormatting sqref="AP63">
    <cfRule type="expression" dxfId="56" priority="335">
      <formula>AO63&lt;&gt;""</formula>
    </cfRule>
  </conditionalFormatting>
  <conditionalFormatting sqref="AP68">
    <cfRule type="expression" dxfId="55" priority="334">
      <formula>AO68&lt;&gt;""</formula>
    </cfRule>
  </conditionalFormatting>
  <conditionalFormatting sqref="AP74">
    <cfRule type="expression" dxfId="54" priority="333">
      <formula>AO74&lt;&gt;""</formula>
    </cfRule>
  </conditionalFormatting>
  <conditionalFormatting sqref="AP78">
    <cfRule type="expression" dxfId="53" priority="332">
      <formula>AP79&lt;&gt;""</formula>
    </cfRule>
  </conditionalFormatting>
  <conditionalFormatting sqref="AP95">
    <cfRule type="expression" dxfId="52" priority="314">
      <formula>$AP$95&lt;&gt;""</formula>
    </cfRule>
  </conditionalFormatting>
  <conditionalFormatting sqref="AP98">
    <cfRule type="expression" dxfId="51" priority="313">
      <formula>$AP$98&lt;&gt;""</formula>
    </cfRule>
  </conditionalFormatting>
  <conditionalFormatting sqref="AP111">
    <cfRule type="expression" dxfId="50" priority="295">
      <formula>$AP$111&lt;&gt;""</formula>
    </cfRule>
  </conditionalFormatting>
  <conditionalFormatting sqref="AP121">
    <cfRule type="expression" dxfId="49" priority="924">
      <formula>AP119="Yes"</formula>
    </cfRule>
  </conditionalFormatting>
  <conditionalFormatting sqref="AR63">
    <cfRule type="expression" dxfId="48" priority="936">
      <formula>AQ62&lt;&gt;""</formula>
    </cfRule>
  </conditionalFormatting>
  <conditionalFormatting sqref="AR68">
    <cfRule type="expression" dxfId="47" priority="935">
      <formula>AQ62&lt;&gt;""</formula>
    </cfRule>
  </conditionalFormatting>
  <conditionalFormatting sqref="AR97 AY97">
    <cfRule type="expression" dxfId="46" priority="405">
      <formula>$AR$95="No"</formula>
    </cfRule>
  </conditionalFormatting>
  <conditionalFormatting sqref="AR95:AS95">
    <cfRule type="expression" dxfId="45" priority="406">
      <formula>#REF!&lt;&gt;""</formula>
    </cfRule>
  </conditionalFormatting>
  <conditionalFormatting sqref="AR72:AX73">
    <cfRule type="expression" dxfId="44" priority="934">
      <formula>AND($AR$63="No",$AR$68="No")</formula>
    </cfRule>
  </conditionalFormatting>
  <conditionalFormatting sqref="AR74:AX83">
    <cfRule type="expression" dxfId="43" priority="933">
      <formula>AND($AR$72&lt;&gt;"",$AR$72&lt;&gt;"          Proceed to the next question to the right ==&gt;")</formula>
    </cfRule>
  </conditionalFormatting>
  <conditionalFormatting sqref="AR98:AX102">
    <cfRule type="expression" dxfId="42" priority="404">
      <formula>AR95="Yes"</formula>
    </cfRule>
  </conditionalFormatting>
  <conditionalFormatting sqref="AR111:AX125">
    <cfRule type="expression" dxfId="41" priority="605">
      <formula>P109&lt;&gt;""</formula>
    </cfRule>
  </conditionalFormatting>
  <conditionalFormatting sqref="AY63">
    <cfRule type="expression" dxfId="40" priority="329">
      <formula>AX63&lt;&gt;""</formula>
    </cfRule>
  </conditionalFormatting>
  <conditionalFormatting sqref="AY68">
    <cfRule type="expression" dxfId="39" priority="331">
      <formula>AX68&lt;&gt;""</formula>
    </cfRule>
  </conditionalFormatting>
  <conditionalFormatting sqref="AY78">
    <cfRule type="expression" dxfId="38" priority="330">
      <formula>AY79&lt;&gt;""</formula>
    </cfRule>
  </conditionalFormatting>
  <conditionalFormatting sqref="AY95">
    <cfRule type="expression" dxfId="37" priority="312">
      <formula>$AY$95&lt;&gt;""</formula>
    </cfRule>
  </conditionalFormatting>
  <conditionalFormatting sqref="AY98">
    <cfRule type="expression" dxfId="36" priority="311">
      <formula>$AY$98&lt;&gt;""</formula>
    </cfRule>
  </conditionalFormatting>
  <conditionalFormatting sqref="AY111">
    <cfRule type="expression" dxfId="35" priority="294">
      <formula>$AY$111&lt;&gt;""</formula>
    </cfRule>
  </conditionalFormatting>
  <conditionalFormatting sqref="AY121">
    <cfRule type="expression" dxfId="34" priority="1072">
      <formula>#REF!="No"</formula>
    </cfRule>
  </conditionalFormatting>
  <conditionalFormatting sqref="BA63">
    <cfRule type="expression" dxfId="33" priority="932">
      <formula>AZ62&lt;&gt;""</formula>
    </cfRule>
  </conditionalFormatting>
  <conditionalFormatting sqref="BA67">
    <cfRule type="expression" dxfId="32" priority="931">
      <formula>AZ66&lt;&gt;""</formula>
    </cfRule>
  </conditionalFormatting>
  <conditionalFormatting sqref="BA71">
    <cfRule type="expression" dxfId="31" priority="930">
      <formula>BA67="Yes"</formula>
    </cfRule>
  </conditionalFormatting>
  <conditionalFormatting sqref="BA89">
    <cfRule type="expression" dxfId="30" priority="402">
      <formula>#REF!="No"</formula>
    </cfRule>
  </conditionalFormatting>
  <conditionalFormatting sqref="BA111">
    <cfRule type="expression" dxfId="29" priority="604">
      <formula>P109&lt;&gt;""</formula>
    </cfRule>
  </conditionalFormatting>
  <conditionalFormatting sqref="BA73:BG74">
    <cfRule type="expression" dxfId="28" priority="928">
      <formula>AND($BA$63="No",$BA$67="No")</formula>
    </cfRule>
  </conditionalFormatting>
  <conditionalFormatting sqref="BA75:BG83">
    <cfRule type="expression" dxfId="27" priority="929">
      <formula>AND($BA$73&lt;&gt;"",$BA$73&lt;&gt;"          Complete additional questions to the right ==&gt;")</formula>
    </cfRule>
  </conditionalFormatting>
  <conditionalFormatting sqref="BA90:BG102">
    <cfRule type="expression" dxfId="26" priority="401">
      <formula>#REF!="Yes"</formula>
    </cfRule>
  </conditionalFormatting>
  <conditionalFormatting sqref="BH63">
    <cfRule type="expression" dxfId="25" priority="328">
      <formula>BG63&lt;&gt;""</formula>
    </cfRule>
  </conditionalFormatting>
  <conditionalFormatting sqref="BH67">
    <cfRule type="expression" dxfId="24" priority="327">
      <formula>BG67&lt;&gt;""</formula>
    </cfRule>
  </conditionalFormatting>
  <conditionalFormatting sqref="BH71">
    <cfRule type="expression" dxfId="23" priority="326">
      <formula>BG71&lt;&gt;""</formula>
    </cfRule>
  </conditionalFormatting>
  <conditionalFormatting sqref="BH78">
    <cfRule type="expression" dxfId="22" priority="325">
      <formula>BH79&lt;&gt;""</formula>
    </cfRule>
  </conditionalFormatting>
  <conditionalFormatting sqref="BH90">
    <cfRule type="expression" dxfId="21" priority="310">
      <formula>$BH$90&lt;&gt;""</formula>
    </cfRule>
  </conditionalFormatting>
  <conditionalFormatting sqref="BH111">
    <cfRule type="expression" dxfId="20" priority="293">
      <formula>$BH$111&lt;&gt;""</formula>
    </cfRule>
  </conditionalFormatting>
  <conditionalFormatting sqref="BH113">
    <cfRule type="expression" dxfId="19" priority="1073">
      <formula>#REF!="No"</formula>
    </cfRule>
  </conditionalFormatting>
  <conditionalFormatting sqref="BJ88">
    <cfRule type="expression" dxfId="18" priority="398">
      <formula>#REF!="No"</formula>
    </cfRule>
  </conditionalFormatting>
  <conditionalFormatting sqref="BJ63:BP71">
    <cfRule type="expression" dxfId="17" priority="927">
      <formula>$BI$62&lt;&gt;""</formula>
    </cfRule>
  </conditionalFormatting>
  <conditionalFormatting sqref="BJ75:BP83">
    <cfRule type="expression" dxfId="16" priority="926">
      <formula>$BI$73&lt;&gt;""</formula>
    </cfRule>
  </conditionalFormatting>
  <conditionalFormatting sqref="BJ89:BP102">
    <cfRule type="expression" dxfId="15" priority="399">
      <formula>#REF!="Yes"</formula>
    </cfRule>
  </conditionalFormatting>
  <conditionalFormatting sqref="BL58">
    <cfRule type="expression" dxfId="14" priority="644">
      <formula>P62&lt;&gt;""</formula>
    </cfRule>
  </conditionalFormatting>
  <conditionalFormatting sqref="BM105:BQ107">
    <cfRule type="expression" dxfId="13" priority="302">
      <formula>$BM$105&lt;&gt;""</formula>
    </cfRule>
  </conditionalFormatting>
  <conditionalFormatting sqref="BM108:BQ108">
    <cfRule type="expression" dxfId="12" priority="603">
      <formula>P111&lt;&gt;""</formula>
    </cfRule>
  </conditionalFormatting>
  <conditionalFormatting sqref="BQ63">
    <cfRule type="expression" dxfId="11" priority="324">
      <formula>BQ63&lt;&gt;""</formula>
    </cfRule>
  </conditionalFormatting>
  <conditionalFormatting sqref="BQ78">
    <cfRule type="expression" dxfId="10" priority="323">
      <formula>BQ78&lt;&gt;""</formula>
    </cfRule>
  </conditionalFormatting>
  <conditionalFormatting sqref="BQ89">
    <cfRule type="expression" dxfId="9" priority="309">
      <formula>$BQ$89&lt;&gt;""</formula>
    </cfRule>
  </conditionalFormatting>
  <conditionalFormatting sqref="BQ112">
    <cfRule type="expression" dxfId="8" priority="1074">
      <formula>#REF!="No"</formula>
    </cfRule>
  </conditionalFormatting>
  <conditionalFormatting sqref="BR106">
    <cfRule type="expression" dxfId="7" priority="1071">
      <formula>T109&lt;&gt;""</formula>
    </cfRule>
  </conditionalFormatting>
  <conditionalFormatting sqref="BV88:CE88">
    <cfRule type="expression" dxfId="6" priority="396">
      <formula>#REF!="No"</formula>
    </cfRule>
  </conditionalFormatting>
  <conditionalFormatting sqref="BV89:CE94">
    <cfRule type="expression" dxfId="5" priority="395">
      <formula>#REF!="Yes"</formula>
    </cfRule>
  </conditionalFormatting>
  <conditionalFormatting sqref="BV97:CE100">
    <cfRule type="expression" dxfId="4" priority="394">
      <formula>#REF!&lt;&gt;""</formula>
    </cfRule>
  </conditionalFormatting>
  <conditionalFormatting sqref="CA86">
    <cfRule type="expression" dxfId="3" priority="12370">
      <formula>#REF!&lt;&gt;""</formula>
    </cfRule>
  </conditionalFormatting>
  <conditionalFormatting sqref="CA126">
    <cfRule type="expression" dxfId="2" priority="15387">
      <formula>#REF!&lt;&gt;""</formula>
    </cfRule>
  </conditionalFormatting>
  <conditionalFormatting sqref="CF89">
    <cfRule type="expression" dxfId="1" priority="307">
      <formula>$CF$89&lt;&gt;""</formula>
    </cfRule>
  </conditionalFormatting>
  <conditionalFormatting sqref="CF97">
    <cfRule type="expression" dxfId="0" priority="305">
      <formula>$CF$97&lt;&gt;""</formula>
    </cfRule>
  </conditionalFormatting>
  <dataValidations count="7">
    <dataValidation type="list" allowBlank="1" showInputMessage="1" showErrorMessage="1" sqref="Z114:AA114 Z111:AA111 Q90:R90 Q95:R95 Z95:AA95 AI95:AJ95 AR95:AS95" xr:uid="{00000000-0002-0000-0100-000000000000}">
      <formula1>"Please Select, Yes, No"</formula1>
    </dataValidation>
    <dataValidation type="list" allowBlank="1" showInputMessage="1" showErrorMessage="1" sqref="Q63:T63" xr:uid="{00000000-0002-0000-0100-000001000000}">
      <formula1>"Please Select, End of Add/Drop, First Day of Class, IPEDS reported number, Major Code Assigned by Registrar, Other"</formula1>
    </dataValidation>
    <dataValidation type="list" allowBlank="1" showInputMessage="1" showErrorMessage="1" sqref="Q67 Q71 Z63 Z69 AE74:AF74 BA71 AI68 AI74 AI63:AJ63 BA63:BB63 AR68:AS68 BA67 AR63:AS63 Z74:AA74" xr:uid="{00000000-0002-0000-0100-000002000000}">
      <formula1>"Please Select, No, Yes"</formula1>
    </dataValidation>
    <dataValidation type="list" allowBlank="1" showInputMessage="1" showErrorMessage="1" sqref="H34" xr:uid="{00000000-0002-0000-0100-000003000000}">
      <formula1>"1, 2, 3, 4, 5, 6, 7, 8, 9,10,11,12,13,14,15"</formula1>
    </dataValidation>
    <dataValidation type="list" allowBlank="1" showInputMessage="1" showErrorMessage="1" sqref="F39:G53" xr:uid="{00000000-0002-0000-0100-000004000000}">
      <formula1>"AK, AL, AR, AZ, CA, CO, CT, DC, DE, FL, GA, HI, IA, ID, IL, IN, KS, KY, LA, MA, MD, ME, MI, MN, MO, MS, MT, NC, ND, NE, NH, NJ, NM, NV, NY, OH, OK, OR, PA, RI, SC, SD, TN, TX, UT, VA, VT, WA, WI, WV, WY"</formula1>
    </dataValidation>
    <dataValidation type="list" allowBlank="1" showInputMessage="1" showErrorMessage="1" sqref="J39:K53" xr:uid="{00000000-0002-0000-0100-000005000000}">
      <formula1>Sat_Cohort</formula1>
    </dataValidation>
    <dataValidation type="list" allowBlank="1" showInputMessage="1" showErrorMessage="1" sqref="J31" xr:uid="{00000000-0002-0000-0100-000006000000}">
      <formula1>"Please Select, Yes"</formula1>
    </dataValidation>
  </dataValidations>
  <hyperlinks>
    <hyperlink ref="CA126:CE126" location="'2017 Annual Report'!A124" display="'2017 Annual Report'!A124" xr:uid="{00000000-0004-0000-0100-000000000000}"/>
    <hyperlink ref="L11" r:id="rId1" xr:uid="{00000000-0004-0000-0100-000001000000}"/>
    <hyperlink ref="CA86:CE87" location="'2018 Annual Report'!A106" display="'2018 Annual Report'!A106" xr:uid="{00000000-0004-0000-0100-000002000000}"/>
    <hyperlink ref="BM105" location="'2017 Annual Report'!A77" display="'2017 Annual Report'!A77" xr:uid="{00000000-0004-0000-0100-000003000000}"/>
    <hyperlink ref="BM105:BQ107" location="'2018 Annual Report'!E127" display="'2018 Annual Report'!E127" xr:uid="{00000000-0004-0000-0100-000004000000}"/>
  </hyperlinks>
  <printOptions horizontalCentered="1"/>
  <pageMargins left="0.15" right="0.15" top="0.25" bottom="0.25" header="0" footer="0"/>
  <pageSetup scale="57" fitToWidth="0" pageOrder="overThenDown" orientation="landscape" r:id="rId2"/>
  <rowBreaks count="4" manualBreakCount="4">
    <brk id="34" max="13" man="1"/>
    <brk id="56" max="13" man="1"/>
    <brk id="84" max="13" man="1"/>
    <brk id="105" max="13" man="1"/>
  </rowBreaks>
  <colBreaks count="6" manualBreakCount="6">
    <brk id="15" max="124" man="1"/>
    <brk id="33" max="124" man="1"/>
    <brk id="51" min="56" max="125" man="1"/>
    <brk id="69" max="1048575" man="1"/>
    <brk id="88" max="307" man="1"/>
    <brk id="106" max="307" man="1"/>
  </colBreaks>
  <drawing r:id="rId3"/>
  <legacyDrawing r:id="rId4"/>
  <extLst>
    <ext xmlns:x14="http://schemas.microsoft.com/office/spreadsheetml/2009/9/main" uri="{78C0D931-6437-407d-A8EE-F0AAD7539E65}">
      <x14:conditionalFormattings>
        <x14:conditionalFormatting xmlns:xm="http://schemas.microsoft.com/office/excel/2006/main">
          <x14:cfRule type="expression" priority="58" id="{FCBF1F73-F393-4EE8-B436-0F5D5A995408}">
            <xm:f>OR(AND('2023 Annual Report'!G37="No",'2023 Annual Report'!G44="Yes",'2023 Annual Report'!G46="No"),AND(G27="No",G29=""),AND(G27="Yes",G29="No"),G29="Please Select")</xm:f>
            <x14:dxf>
              <font>
                <b/>
                <i val="0"/>
                <color rgb="FFC00000"/>
              </font>
              <fill>
                <patternFill>
                  <bgColor rgb="FFFCFEB4"/>
                </patternFill>
              </fill>
            </x14:dxf>
          </x14:cfRule>
          <xm:sqref>B57:N57</xm:sqref>
        </x14:conditionalFormatting>
        <x14:conditionalFormatting xmlns:xm="http://schemas.microsoft.com/office/excel/2006/main">
          <x14:cfRule type="expression" priority="1" id="{FEF831DD-7B2A-4127-BB74-9B54C04E2A8E}">
            <xm:f>COUNTIF('2023 Annual Report'!$C$46:$F$46,"The*")</xm:f>
            <x14:dxf>
              <font>
                <b/>
                <i val="0"/>
                <color rgb="FF0070C0"/>
              </font>
              <fill>
                <patternFill>
                  <bgColor rgb="FFF2DCDB"/>
                </patternFill>
              </fill>
            </x14:dxf>
          </x14:cfRule>
          <xm:sqref>C29:F29</xm:sqref>
        </x14:conditionalFormatting>
        <x14:conditionalFormatting xmlns:xm="http://schemas.microsoft.com/office/excel/2006/main">
          <x14:cfRule type="expression" priority="9542" id="{66509A4D-B271-4DD4-8154-B576A5EA5F78}">
            <xm:f>'2023 Annual Report'!#REF!&lt;&gt;""</xm:f>
            <x14:dxf>
              <fill>
                <patternFill>
                  <bgColor rgb="FF92D050"/>
                </patternFill>
              </fill>
            </x14:dxf>
          </x14:cfRule>
          <xm:sqref>J33:N33</xm:sqref>
        </x14:conditionalFormatting>
        <x14:conditionalFormatting xmlns:xm="http://schemas.microsoft.com/office/excel/2006/main">
          <x14:cfRule type="expression" priority="199" id="{AC701DB9-C2A4-429D-989B-BFBF49F17DB8}">
            <xm:f>'2023 Annual Report'!O27&lt;&gt;""</xm:f>
            <x14:dxf>
              <fill>
                <patternFill>
                  <bgColor rgb="FFFFFF00"/>
                </patternFill>
              </fill>
            </x14:dxf>
          </x14:cfRule>
          <xm:sqref>O29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2023 Annual Report</vt:lpstr>
      <vt:lpstr>2023 Satellite(s)</vt:lpstr>
      <vt:lpstr>'2023 Satellite(s)'!Print_Area</vt:lpstr>
      <vt:lpstr>'2023 Satellite(s)'!Sat_Cohort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Collard</dc:creator>
  <cp:lastModifiedBy>Patricia Tritt</cp:lastModifiedBy>
  <cp:lastPrinted>2024-01-02T19:59:20Z</cp:lastPrinted>
  <dcterms:created xsi:type="dcterms:W3CDTF">2015-02-14T20:55:58Z</dcterms:created>
  <dcterms:modified xsi:type="dcterms:W3CDTF">2025-02-12T15:23:39Z</dcterms:modified>
</cp:coreProperties>
</file>