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0"/>
  <workbookPr codeName="ThisWorkbook"/>
  <mc:AlternateContent xmlns:mc="http://schemas.openxmlformats.org/markup-compatibility/2006">
    <mc:Choice Requires="x15">
      <x15ac:absPath xmlns:x15ac="http://schemas.microsoft.com/office/spreadsheetml/2010/11/ac" url="/Users/jenniferandersonwarwick/Downloads/"/>
    </mc:Choice>
  </mc:AlternateContent>
  <xr:revisionPtr revIDLastSave="0" documentId="8_{CC1542E5-EB5A-AF42-8ACA-1321907332B5}" xr6:coauthVersionLast="47" xr6:coauthVersionMax="47" xr10:uidLastSave="{00000000-0000-0000-0000-000000000000}"/>
  <bookViews>
    <workbookView xWindow="0" yWindow="0" windowWidth="57600" windowHeight="32400" activeTab="2" xr2:uid="{00000000-000D-0000-FFFF-FFFF00000000}"/>
  </bookViews>
  <sheets>
    <sheet name="EA-LoR App" sheetId="8" state="hidden" r:id="rId1"/>
    <sheet name="Cover Page" sheetId="3" r:id="rId2"/>
    <sheet name="SV Findings" sheetId="1" r:id="rId3"/>
    <sheet name="Summary of Findings - Main" sheetId="7" r:id="rId4"/>
    <sheet name="Satellite(s)" sheetId="10" r:id="rId5"/>
    <sheet name="Strengths &amp; Recommendations" sheetId="14" state="hidden" r:id="rId6"/>
    <sheet name="SV Scripts" sheetId="9" state="hidden" r:id="rId7"/>
  </sheets>
  <externalReferences>
    <externalReference r:id="rId8"/>
    <externalReference r:id="rId9"/>
  </externalReferences>
  <definedNames>
    <definedName name="_xlnm._FilterDatabase" localSheetId="2" hidden="1">'SV Findings'!$I$13:$J$13</definedName>
    <definedName name="_Hlk213838863" localSheetId="5">'Strengths &amp; Recommendations'!$A$65</definedName>
    <definedName name="a.Recommendations">'Summary of Findings - Main'!$C$207</definedName>
    <definedName name="a.Strengths">'Summary of Findings - Main'!#REF!</definedName>
    <definedName name="aSuggestedRecommend">'Strengths &amp; Recommendations'!$A$45</definedName>
    <definedName name="aSuggestedStrengths">'Strengths &amp; Recommendations'!$A$5</definedName>
    <definedName name="EASAdmin" localSheetId="0">'EA-LoR App'!$I$63:$L$63</definedName>
    <definedName name="EASCAffiliates" localSheetId="0">#REF!</definedName>
    <definedName name="EASCState" localSheetId="0">'EA-LoR App'!#REF!</definedName>
    <definedName name="EASDegree" localSheetId="0">'EA-LoR App'!$I$32:$U$32</definedName>
    <definedName name="EASFAffiliates" localSheetId="0">#REF!</definedName>
    <definedName name="EASInst" localSheetId="0">'EA-LoR App'!$I$26:$AJ$26</definedName>
    <definedName name="EASOutSat" localSheetId="0">#REF!</definedName>
    <definedName name="EASPublication" localSheetId="0">#REF!</definedName>
    <definedName name="EASSat" localSheetId="0">#REF!</definedName>
    <definedName name="EASStatus" localSheetId="0">'EA-LoR App'!$I$30:$N$30</definedName>
    <definedName name="EASType" localSheetId="0">'EA-LoR App'!$I$29:$T$29</definedName>
    <definedName name="MetNADNE">'SV Findings'!$M$8:$P$8</definedName>
    <definedName name="_xlnm.Print_Area" localSheetId="1">'Cover Page'!$A$1:$N$60</definedName>
    <definedName name="_xlnm.Print_Area" localSheetId="0">'EA-LoR App'!$A$1:$G$82</definedName>
    <definedName name="_xlnm.Print_Area" localSheetId="4">'Satellite(s)'!$A$1:$M$8,'Satellite(s)'!$A$10:$AB$51,'Satellite(s)'!$A$54:$M$140</definedName>
    <definedName name="_xlnm.Print_Area" localSheetId="3">'Summary of Findings - Main'!$A$1:$G$292</definedName>
    <definedName name="_xlnm.Print_Area" localSheetId="2">'SV Findings'!$B$1:$L$331</definedName>
    <definedName name="_xlnm.Print_Titles" localSheetId="2">'SV Findings'!$6:$6</definedName>
    <definedName name="PV" localSheetId="3">'SV Findings'!#REF!</definedName>
    <definedName name="PV">'[1]SV Findings'!#REF!</definedName>
    <definedName name="PVB" localSheetId="0">#REF!</definedName>
    <definedName name="PVB" localSheetId="3">'SV Findings'!#REF!</definedName>
    <definedName name="PVB" localSheetId="6">'[1]SV Findings'!#REF!</definedName>
    <definedName name="PVB">'SV Findings'!#REF!</definedName>
    <definedName name="Readers" localSheetId="0">'EA-LoR App'!$I$59:$T$59</definedName>
    <definedName name="Satellites">'[1]EA-I-CSSR'!$W$25:$W$27</definedName>
    <definedName name="Sponsorship" localSheetId="0">#REF!</definedName>
    <definedName name="Sponsorship" localSheetId="6">'[1]SV Findings'!$AA$9:$AI$9</definedName>
    <definedName name="Sponsorship">'SV Findings'!$AA$10:$AI$10</definedName>
    <definedName name="Standards" localSheetId="0">#REF!</definedName>
    <definedName name="Standards">'Summary of Findings - Main'!$Q$31:$Q$202</definedName>
    <definedName name="SType">'[2]Standard I'!$K$2:$K$6</definedName>
    <definedName name="SVCriteria">#REF!</definedName>
    <definedName name="validation_tclist" localSheetId="0">OFFSET(#REF!,,,COUNTIF(#REF!,"?*"))</definedName>
    <definedName name="validation_tclist" localSheetId="6">OFFSET('[1]Cover Page'!$U$3,,,COUNTIF('[1]Cover Page'!$U$3:$U$136,"?*"))</definedName>
    <definedName name="validation_tclist">OFFSET('Cover Page'!$U$3,,,COUNTIF('Cover Page'!$U$3:$U$158,"?*"))</definedName>
    <definedName name="validation_tmlist" localSheetId="0">OFFSET(#REF!,,,COUNTIF(#REF!,"?*"))</definedName>
    <definedName name="validation_tmlist" localSheetId="6">OFFSET('[1]Cover Page'!$AA$3,,,COUNTIF('[1]Cover Page'!$AA$3:$AA$136,"?*"))</definedName>
    <definedName name="validation_tmlist">OFFSET('Cover Page'!$AA$3,,,COUNTIF('Cover Page'!$AA$3:$AA$158,"?*"))</definedName>
    <definedName name="validation_tmlist2" localSheetId="0">OFFSET(#REF!,,,COUNTIF(#REF!,"?*"))</definedName>
    <definedName name="validation_tmlist2" localSheetId="6">OFFSET('[1]Cover Page'!$AF$3,,,COUNTIF('[1]Cover Page'!$AF$3:$AF$136,"?*"))</definedName>
    <definedName name="validation_tmlist2">OFFSET('Cover Page'!$AF$3,,,COUNTIF('Cover Page'!$AF$3:$AF$158,"?*"))</definedName>
    <definedName name="validation_tmlist3" localSheetId="0">OFFSET(#REF!,,,COUNTIF(#REF!,"?*"))</definedName>
    <definedName name="validation_tmlist3" localSheetId="6">OFFSET('[1]Cover Page'!$AK$3,,,COUNTIF('[1]Cover Page'!$AK$3:$AK$136,"?*"))</definedName>
    <definedName name="validation_tmlist3">OFFSET('Cover Page'!$AK$3,,,COUNTIF('Cover Page'!$AK$3:$AK$158,"?*"))</definedName>
    <definedName name="YN" localSheetId="0">#REF!</definedName>
    <definedName name="YN" localSheetId="3">'SV Findings'!#REF!</definedName>
    <definedName name="YN" localSheetId="6">'[1]SV Findings'!#REF!</definedName>
    <definedName name="YN">'SV Findings'!#REF!</definedName>
    <definedName name="YNApp" localSheetId="0">'EA-LoR App'!$J$17:$M$17</definedName>
    <definedName name="YNN" localSheetId="0">#REF!</definedName>
    <definedName name="YNN">#REF!</definedName>
    <definedName name="YNNA" localSheetId="0">#REF!</definedName>
    <definedName name="YNNA" localSheetId="3">'SV Findings'!#REF!</definedName>
    <definedName name="YNNA" localSheetId="6">'[1]SV Findings'!#REF!</definedName>
    <definedName name="YNNA">'SV Findings'!#REF!</definedName>
    <definedName name="YNNApp" localSheetId="0">'EA-LoR App'!$J$24:$N$24</definedName>
    <definedName name="Z_6FDBC1BF_99FD_492F_9A38_B1FC9531BD14_.wvu.FilterData" localSheetId="2" hidden="1">'SV Findings'!$I$13:$J$13</definedName>
    <definedName name="Z_6FDBC1BF_99FD_492F_9A38_B1FC9531BD14_.wvu.PrintArea" localSheetId="1" hidden="1">'Cover Page'!$A$1:$N$39</definedName>
    <definedName name="Z_6FDBC1BF_99FD_492F_9A38_B1FC9531BD14_.wvu.PrintArea" localSheetId="0" hidden="1">'EA-LoR App'!$A$1:$G$82,'EA-LoR App'!$H$14:$S$36</definedName>
    <definedName name="Z_6FDBC1BF_99FD_492F_9A38_B1FC9531BD14_.wvu.PrintArea" localSheetId="3" hidden="1">'Summary of Findings - Main'!$A$1:$G$293</definedName>
    <definedName name="Z_6FDBC1BF_99FD_492F_9A38_B1FC9531BD14_.wvu.PrintArea" localSheetId="2" hidden="1">'SV Findings'!$B$1:$L$333</definedName>
    <definedName name="Z_6FDBC1BF_99FD_492F_9A38_B1FC9531BD14_.wvu.PrintTitles" localSheetId="2" hidden="1">'SV Findings'!$6:$6</definedName>
    <definedName name="Z_C17C9B4A_0866_4AA0_BC6D_B2274E9D30D3_.wvu.FilterData" localSheetId="2" hidden="1">'SV Findings'!$I$13:$J$13</definedName>
    <definedName name="Z_C17C9B4A_0866_4AA0_BC6D_B2274E9D30D3_.wvu.PrintArea" localSheetId="1" hidden="1">'Cover Page'!$A$1:$N$39</definedName>
    <definedName name="Z_C17C9B4A_0866_4AA0_BC6D_B2274E9D30D3_.wvu.PrintArea" localSheetId="0" hidden="1">'EA-LoR App'!$A$1:$G$82,'EA-LoR App'!$H$14:$S$36</definedName>
    <definedName name="Z_C17C9B4A_0866_4AA0_BC6D_B2274E9D30D3_.wvu.PrintArea" localSheetId="3" hidden="1">'Summary of Findings - Main'!$A$1:$G$293</definedName>
    <definedName name="Z_C17C9B4A_0866_4AA0_BC6D_B2274E9D30D3_.wvu.PrintArea" localSheetId="2" hidden="1">'SV Findings'!$B$1:$L$333</definedName>
    <definedName name="Z_C17C9B4A_0866_4AA0_BC6D_B2274E9D30D3_.wvu.PrintTitles" localSheetId="2" hidden="1">'SV Findings'!$6:$6</definedName>
  </definedNames>
  <calcPr calcId="191029" iterateCount="1"/>
  <customWorkbookViews>
    <customWorkbookView name="EA1" guid="{C17C9B4A-0866-4AA0-BC6D-B2274E9D30D3}" maximized="1" windowWidth="1881" windowHeight="771" activeSheetId="4"/>
    <customWorkbookView name="EASatellites" guid="{6FDBC1BF-99FD-492F-9A38-B1FC9531BD14}" maximized="1" windowWidth="1881" windowHeight="771"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9" i="7" l="1"/>
  <c r="B283" i="7"/>
  <c r="B277" i="7"/>
  <c r="B30" i="7"/>
  <c r="K138" i="1" l="1"/>
  <c r="D101" i="7"/>
  <c r="B101" i="7"/>
  <c r="I158" i="1"/>
  <c r="I157" i="1"/>
  <c r="I156" i="1"/>
  <c r="I159" i="1"/>
  <c r="I160" i="1"/>
  <c r="C159" i="1"/>
  <c r="B159" i="1"/>
  <c r="C157" i="1"/>
  <c r="B157" i="1"/>
  <c r="C156" i="1"/>
  <c r="B156" i="1"/>
  <c r="I154" i="1"/>
  <c r="I153" i="1"/>
  <c r="C153" i="1"/>
  <c r="B155" i="1"/>
  <c r="B153" i="1"/>
  <c r="B152" i="1"/>
  <c r="B150" i="1"/>
  <c r="H150" i="1"/>
  <c r="K150" i="1"/>
  <c r="B149" i="1"/>
  <c r="H185" i="1"/>
  <c r="D111" i="7"/>
  <c r="B111" i="7"/>
  <c r="B112" i="7"/>
  <c r="Q11" i="1"/>
  <c r="C13" i="1"/>
  <c r="K185" i="1"/>
  <c r="K172" i="1" l="1"/>
  <c r="C175" i="1"/>
  <c r="B177" i="1"/>
  <c r="C183" i="1"/>
  <c r="C182" i="1"/>
  <c r="C181" i="1"/>
  <c r="C180" i="1"/>
  <c r="B183" i="1"/>
  <c r="B182" i="1"/>
  <c r="B181" i="1"/>
  <c r="B180" i="1"/>
  <c r="I181" i="1"/>
  <c r="I178" i="1"/>
  <c r="C178" i="1"/>
  <c r="B178" i="1"/>
  <c r="I175" i="1"/>
  <c r="B175" i="1"/>
  <c r="I172" i="1"/>
  <c r="B174" i="1"/>
  <c r="I143" i="1"/>
  <c r="I144" i="1"/>
  <c r="D19" i="3"/>
  <c r="B396" i="1"/>
  <c r="B390" i="1"/>
  <c r="C14" i="1"/>
  <c r="N178" i="1"/>
  <c r="N175" i="1"/>
  <c r="D54" i="7"/>
  <c r="B54" i="7"/>
  <c r="D53" i="7"/>
  <c r="B53" i="7"/>
  <c r="D49" i="7"/>
  <c r="B49" i="7"/>
  <c r="B76" i="10"/>
  <c r="B120" i="10"/>
  <c r="X32" i="10"/>
  <c r="S32" i="10"/>
  <c r="N32" i="10"/>
  <c r="B32" i="10"/>
  <c r="I13" i="1"/>
  <c r="D199" i="7"/>
  <c r="D198" i="7"/>
  <c r="D190" i="7"/>
  <c r="D162" i="7"/>
  <c r="D161" i="7"/>
  <c r="D160" i="7"/>
  <c r="D159" i="7"/>
  <c r="D158" i="7"/>
  <c r="D144" i="7"/>
  <c r="D140" i="7"/>
  <c r="D121" i="7"/>
  <c r="D120" i="7"/>
  <c r="D113" i="7"/>
  <c r="D112" i="7"/>
  <c r="D71" i="7"/>
  <c r="D70" i="7"/>
  <c r="D69" i="7"/>
  <c r="D65" i="7"/>
  <c r="D64" i="7"/>
  <c r="D63" i="7"/>
  <c r="D62" i="7"/>
  <c r="D55" i="7"/>
  <c r="D48" i="7"/>
  <c r="B48" i="7"/>
  <c r="D47" i="7"/>
  <c r="D46" i="7"/>
  <c r="D44" i="7" l="1"/>
  <c r="D43" i="7"/>
  <c r="B43" i="7"/>
  <c r="D39" i="7"/>
  <c r="B186" i="1" l="1"/>
  <c r="B36" i="1" l="1"/>
  <c r="B233" i="1"/>
  <c r="I194" i="1"/>
  <c r="C196" i="1"/>
  <c r="C195" i="1"/>
  <c r="C194" i="1"/>
  <c r="B196" i="1"/>
  <c r="B195" i="1"/>
  <c r="B194" i="1"/>
  <c r="B193" i="1"/>
  <c r="C23" i="1"/>
  <c r="I187" i="1"/>
  <c r="B3" i="7" l="1"/>
  <c r="D133" i="7" l="1"/>
  <c r="B133" i="7"/>
  <c r="D132" i="7"/>
  <c r="B132" i="7"/>
  <c r="D175" i="7" l="1"/>
  <c r="B175" i="7"/>
  <c r="D168" i="7"/>
  <c r="B168" i="7"/>
  <c r="D178" i="7"/>
  <c r="B178" i="7"/>
  <c r="D3" i="7" l="1"/>
  <c r="F3" i="1"/>
  <c r="C191" i="1"/>
  <c r="C189" i="1"/>
  <c r="H138" i="1" l="1"/>
  <c r="J229" i="1" a="1"/>
  <c r="J229" i="1"/>
  <c r="J228" i="1" a="1"/>
  <c r="J228" i="1"/>
  <c r="J112" i="1" a="1"/>
  <c r="J112" i="1"/>
  <c r="J111" i="1" a="1"/>
  <c r="J111" i="1"/>
  <c r="J67" i="1" a="1"/>
  <c r="J67" i="1"/>
  <c r="J66" i="1" a="1"/>
  <c r="J66" i="1"/>
  <c r="B2" i="10"/>
  <c r="B4" i="10" s="1"/>
  <c r="J207" i="1" a="1"/>
  <c r="J207" i="1"/>
  <c r="J206" i="1" a="1"/>
  <c r="J206" i="1"/>
  <c r="C140" i="1"/>
  <c r="D60" i="7" l="1"/>
  <c r="B60" i="7"/>
  <c r="B62" i="7"/>
  <c r="B63" i="7"/>
  <c r="B322" i="1"/>
  <c r="B264" i="1"/>
  <c r="B64" i="7"/>
  <c r="D96" i="7" l="1"/>
  <c r="B96" i="7"/>
  <c r="C144" i="1"/>
  <c r="C143" i="1"/>
  <c r="I146" i="1"/>
  <c r="C145" i="1"/>
  <c r="D102" i="7"/>
  <c r="D118" i="7"/>
  <c r="B118" i="7"/>
  <c r="D119" i="7"/>
  <c r="B119" i="7"/>
  <c r="B120" i="7"/>
  <c r="B121" i="7"/>
  <c r="D122" i="7"/>
  <c r="B122" i="7"/>
  <c r="D123" i="7"/>
  <c r="B123" i="7"/>
  <c r="D124" i="7"/>
  <c r="B124" i="7"/>
  <c r="C117" i="1"/>
  <c r="I141" i="1"/>
  <c r="B332" i="1"/>
  <c r="J312" i="1" a="1"/>
  <c r="J312" i="1"/>
  <c r="J311" i="1" a="1"/>
  <c r="J311" i="1"/>
  <c r="J288" i="1" a="1"/>
  <c r="J288" i="1"/>
  <c r="J287" i="1" a="1"/>
  <c r="J287" i="1"/>
  <c r="J286" i="1" a="1"/>
  <c r="J286" i="1"/>
  <c r="J242" i="1" a="1"/>
  <c r="J242" i="1"/>
  <c r="J241" i="1" a="1"/>
  <c r="J241" i="1"/>
  <c r="J218" i="1" a="1"/>
  <c r="J218" i="1"/>
  <c r="J219" i="1" a="1"/>
  <c r="J219" i="1"/>
  <c r="J213" i="1" a="1"/>
  <c r="J213" i="1"/>
  <c r="J212" i="1" a="1"/>
  <c r="J212" i="1"/>
  <c r="J201" i="1" a="1"/>
  <c r="J201" i="1"/>
  <c r="J202" i="1" a="1"/>
  <c r="J202" i="1"/>
  <c r="J168" i="1" a="1"/>
  <c r="J168" i="1"/>
  <c r="J167" i="1" a="1"/>
  <c r="J167" i="1"/>
  <c r="J115" i="1" a="1"/>
  <c r="J115" i="1"/>
  <c r="J114" i="1" a="1"/>
  <c r="J114" i="1"/>
  <c r="J86" i="1" a="1"/>
  <c r="J86" i="1"/>
  <c r="J85" i="1" a="1"/>
  <c r="J85" i="1"/>
  <c r="B392" i="1" l="1"/>
  <c r="B386" i="1"/>
  <c r="B370" i="1"/>
  <c r="B368" i="1"/>
  <c r="C341" i="1"/>
  <c r="J56" i="1" a="1"/>
  <c r="J56" i="1"/>
  <c r="J55" i="1" a="1"/>
  <c r="J55" i="1"/>
  <c r="B137" i="10" l="1"/>
  <c r="B135" i="10"/>
  <c r="B133" i="10"/>
  <c r="B131" i="10"/>
  <c r="B129" i="10"/>
  <c r="B127" i="10"/>
  <c r="B125" i="10"/>
  <c r="B123" i="10"/>
  <c r="B115" i="10"/>
  <c r="B113" i="10"/>
  <c r="B93" i="10"/>
  <c r="B91" i="10"/>
  <c r="B89" i="10"/>
  <c r="B87" i="10"/>
  <c r="B85" i="10"/>
  <c r="B83" i="10"/>
  <c r="B81" i="10"/>
  <c r="B79" i="10"/>
  <c r="B71" i="10"/>
  <c r="B69" i="10"/>
  <c r="BA21" i="10" l="1"/>
  <c r="AZ21" i="10"/>
  <c r="AY21" i="10"/>
  <c r="AX21" i="10"/>
  <c r="BB21" i="10" s="1"/>
  <c r="AS21" i="10"/>
  <c r="AV21" i="10"/>
  <c r="AU21" i="10"/>
  <c r="AT21" i="10"/>
  <c r="AQ21" i="10"/>
  <c r="AP21" i="10"/>
  <c r="AO21" i="10"/>
  <c r="AR21" i="10"/>
  <c r="X49" i="10"/>
  <c r="X47" i="10"/>
  <c r="X45" i="10"/>
  <c r="X43" i="10"/>
  <c r="X41" i="10"/>
  <c r="X39" i="10"/>
  <c r="X37" i="10"/>
  <c r="X35" i="10"/>
  <c r="X27" i="10"/>
  <c r="X25" i="10"/>
  <c r="S49" i="10"/>
  <c r="S47" i="10"/>
  <c r="S45" i="10"/>
  <c r="S43" i="10"/>
  <c r="S41" i="10"/>
  <c r="S39" i="10"/>
  <c r="S37" i="10"/>
  <c r="S35" i="10"/>
  <c r="S27" i="10"/>
  <c r="S25" i="10"/>
  <c r="N49" i="10"/>
  <c r="B49" i="10"/>
  <c r="N47" i="10"/>
  <c r="B47" i="10"/>
  <c r="N45" i="10"/>
  <c r="B45" i="10"/>
  <c r="N43" i="10"/>
  <c r="B43" i="10"/>
  <c r="N41" i="10"/>
  <c r="B41" i="10"/>
  <c r="N39" i="10"/>
  <c r="B39" i="10"/>
  <c r="N37" i="10"/>
  <c r="B37" i="10"/>
  <c r="N35" i="10"/>
  <c r="B35" i="10"/>
  <c r="N27" i="10"/>
  <c r="N25" i="10"/>
  <c r="B27" i="10"/>
  <c r="B25" i="10"/>
  <c r="B3" i="10"/>
  <c r="H7" i="10"/>
  <c r="F55" i="10" s="1"/>
  <c r="H6" i="10"/>
  <c r="H310" i="1" l="1"/>
  <c r="H286" i="1"/>
  <c r="H240" i="1"/>
  <c r="H227" i="1"/>
  <c r="H217" i="1"/>
  <c r="H211" i="1"/>
  <c r="H205" i="1"/>
  <c r="H200" i="1"/>
  <c r="H166" i="1"/>
  <c r="H113" i="1"/>
  <c r="H110" i="1"/>
  <c r="H84" i="1"/>
  <c r="H65" i="1"/>
  <c r="H54" i="1"/>
  <c r="H311" i="1"/>
  <c r="G311" i="1" s="1"/>
  <c r="H287" i="1"/>
  <c r="G287" i="1" s="1"/>
  <c r="H241" i="1"/>
  <c r="G241" i="1" s="1"/>
  <c r="H228" i="1"/>
  <c r="G228" i="1" s="1"/>
  <c r="H218" i="1"/>
  <c r="G218" i="1" s="1"/>
  <c r="H212" i="1"/>
  <c r="G212" i="1" s="1"/>
  <c r="H206" i="1"/>
  <c r="G206" i="1" s="1"/>
  <c r="H201" i="1"/>
  <c r="G201" i="1" s="1"/>
  <c r="H167" i="1"/>
  <c r="G167" i="1" s="1"/>
  <c r="H114" i="1"/>
  <c r="G114" i="1" s="1"/>
  <c r="H111" i="1"/>
  <c r="G111" i="1" s="1"/>
  <c r="H85" i="1"/>
  <c r="G85" i="1" s="1"/>
  <c r="H66" i="1"/>
  <c r="H55" i="1"/>
  <c r="G55" i="1" s="1"/>
  <c r="G286" i="1"/>
  <c r="L56" i="10"/>
  <c r="L62" i="10" s="1"/>
  <c r="J56" i="10"/>
  <c r="J62" i="10" s="1"/>
  <c r="I56" i="10"/>
  <c r="I62" i="10" s="1"/>
  <c r="F56" i="10"/>
  <c r="AW21" i="10"/>
  <c r="B92" i="10"/>
  <c r="B90" i="10"/>
  <c r="B88" i="10"/>
  <c r="B86" i="10"/>
  <c r="B84" i="10"/>
  <c r="B82" i="10"/>
  <c r="B80" i="10"/>
  <c r="B78" i="10"/>
  <c r="B77" i="10"/>
  <c r="B73" i="10"/>
  <c r="B72" i="10"/>
  <c r="B70" i="10"/>
  <c r="B68" i="10"/>
  <c r="B67" i="10"/>
  <c r="B66" i="10"/>
  <c r="B65" i="10"/>
  <c r="B64" i="10"/>
  <c r="B63" i="10"/>
  <c r="B61" i="10"/>
  <c r="B60" i="10"/>
  <c r="B59" i="10"/>
  <c r="B58" i="10"/>
  <c r="B57" i="10"/>
  <c r="AB12" i="10"/>
  <c r="AB18" i="10" s="1"/>
  <c r="AA12" i="10"/>
  <c r="AA18" i="10" s="1"/>
  <c r="Z12" i="10"/>
  <c r="Z18" i="10" s="1"/>
  <c r="Y12" i="10"/>
  <c r="W12" i="10"/>
  <c r="W18" i="10" s="1"/>
  <c r="V12" i="10"/>
  <c r="V18" i="10" s="1"/>
  <c r="F11" i="10"/>
  <c r="U12" i="10"/>
  <c r="U18" i="10" s="1"/>
  <c r="T12" i="10"/>
  <c r="R12" i="10"/>
  <c r="R18" i="10" s="1"/>
  <c r="Q12" i="10"/>
  <c r="Q18" i="10" s="1"/>
  <c r="P12" i="10"/>
  <c r="P18" i="10" s="1"/>
  <c r="O12" i="10"/>
  <c r="O18" i="10" s="1"/>
  <c r="L12" i="10"/>
  <c r="L18" i="10" s="1"/>
  <c r="J12" i="10"/>
  <c r="J18" i="10" s="1"/>
  <c r="I12" i="10"/>
  <c r="I18" i="10" s="1"/>
  <c r="F12" i="10"/>
  <c r="F18" i="10" s="1"/>
  <c r="S31" i="10" l="1"/>
  <c r="T18" i="10"/>
  <c r="X31" i="10"/>
  <c r="Y18" i="10"/>
  <c r="B75" i="10"/>
  <c r="F62" i="10"/>
  <c r="B30" i="10"/>
  <c r="B31" i="10"/>
  <c r="N30" i="10"/>
  <c r="N31" i="10"/>
  <c r="T11" i="10"/>
  <c r="S30" i="10"/>
  <c r="Y11" i="10"/>
  <c r="X30" i="10"/>
  <c r="B74" i="10"/>
  <c r="G66" i="1"/>
  <c r="D135" i="7"/>
  <c r="B135" i="7"/>
  <c r="D67" i="7"/>
  <c r="B67" i="7"/>
  <c r="D75" i="7"/>
  <c r="B75" i="7"/>
  <c r="D78" i="7"/>
  <c r="B78" i="7"/>
  <c r="D108" i="7"/>
  <c r="B108" i="7"/>
  <c r="D126" i="7"/>
  <c r="B126" i="7"/>
  <c r="D130" i="7"/>
  <c r="B130" i="7"/>
  <c r="D138" i="7"/>
  <c r="B138" i="7"/>
  <c r="D142" i="7"/>
  <c r="B142" i="7"/>
  <c r="D154" i="7"/>
  <c r="B154" i="7"/>
  <c r="D182" i="7"/>
  <c r="B182" i="7"/>
  <c r="D196" i="7"/>
  <c r="B196" i="7"/>
  <c r="D58" i="7"/>
  <c r="B58" i="7"/>
  <c r="D51" i="7"/>
  <c r="B51" i="7"/>
  <c r="B22" i="10"/>
  <c r="X48" i="10"/>
  <c r="X46" i="10"/>
  <c r="X44" i="10"/>
  <c r="X42" i="10"/>
  <c r="X40" i="10"/>
  <c r="X38" i="10"/>
  <c r="X36" i="10"/>
  <c r="X34" i="10"/>
  <c r="X33" i="10"/>
  <c r="X29" i="10"/>
  <c r="X28" i="10"/>
  <c r="X26" i="10"/>
  <c r="X24" i="10"/>
  <c r="X23" i="10"/>
  <c r="X22" i="10"/>
  <c r="X21" i="10"/>
  <c r="X20" i="10"/>
  <c r="X19" i="10"/>
  <c r="X17" i="10"/>
  <c r="X16" i="10"/>
  <c r="X15" i="10"/>
  <c r="X14" i="10"/>
  <c r="X13" i="10"/>
  <c r="N33" i="10"/>
  <c r="N22" i="10"/>
  <c r="O11" i="10"/>
  <c r="S48" i="10"/>
  <c r="S46" i="10"/>
  <c r="S44" i="10"/>
  <c r="S42" i="10"/>
  <c r="S40" i="10"/>
  <c r="S38" i="10"/>
  <c r="S36" i="10"/>
  <c r="S34" i="10"/>
  <c r="S33" i="10"/>
  <c r="S22" i="10"/>
  <c r="S29" i="10"/>
  <c r="S28" i="10"/>
  <c r="S26" i="10"/>
  <c r="S24" i="10"/>
  <c r="S23" i="10"/>
  <c r="S21" i="10"/>
  <c r="S20" i="10"/>
  <c r="S19" i="10"/>
  <c r="S17" i="10"/>
  <c r="S16" i="10"/>
  <c r="S15" i="10"/>
  <c r="S14" i="10"/>
  <c r="S13" i="10"/>
  <c r="B48" i="10"/>
  <c r="B46" i="10"/>
  <c r="B44" i="10"/>
  <c r="B42" i="10"/>
  <c r="B40" i="10"/>
  <c r="B38" i="10"/>
  <c r="B26" i="10"/>
  <c r="B19" i="10"/>
  <c r="N48" i="10"/>
  <c r="J113" i="1" s="1" a="1"/>
  <c r="J113" i="1" s="1"/>
  <c r="G113" i="1" s="1"/>
  <c r="N46" i="10"/>
  <c r="N44" i="10"/>
  <c r="J217" i="1" s="1" a="1"/>
  <c r="J217" i="1" s="1"/>
  <c r="G217" i="1" s="1"/>
  <c r="N42" i="10"/>
  <c r="J240" i="1" s="1" a="1"/>
  <c r="J240" i="1" s="1"/>
  <c r="G240" i="1" s="1"/>
  <c r="N40" i="10"/>
  <c r="J205" i="1" s="1" a="1"/>
  <c r="J205" i="1" s="1"/>
  <c r="N38" i="10"/>
  <c r="J166" i="1" s="1" a="1"/>
  <c r="J166" i="1" s="1"/>
  <c r="G166" i="1" s="1"/>
  <c r="N26" i="10"/>
  <c r="N19" i="10"/>
  <c r="N14" i="10"/>
  <c r="B36" i="10"/>
  <c r="B34" i="10"/>
  <c r="B33" i="10"/>
  <c r="B29" i="10"/>
  <c r="B28" i="10"/>
  <c r="B24" i="10"/>
  <c r="B23" i="10"/>
  <c r="B21" i="10"/>
  <c r="B20" i="10"/>
  <c r="B17" i="10"/>
  <c r="B16" i="10"/>
  <c r="B15" i="10"/>
  <c r="B14" i="10"/>
  <c r="B13" i="10"/>
  <c r="N36" i="10"/>
  <c r="J200" i="1" s="1" a="1"/>
  <c r="J200" i="1" s="1"/>
  <c r="G200" i="1" s="1"/>
  <c r="N34" i="10"/>
  <c r="J211" i="1" s="1" a="1"/>
  <c r="J211" i="1" s="1"/>
  <c r="G211" i="1" s="1"/>
  <c r="J310" i="1" a="1"/>
  <c r="J310" i="1" s="1"/>
  <c r="G310" i="1" s="1"/>
  <c r="N29" i="10"/>
  <c r="N28" i="10"/>
  <c r="N24" i="10"/>
  <c r="N23" i="10"/>
  <c r="N21" i="10"/>
  <c r="N20" i="10"/>
  <c r="N17" i="10"/>
  <c r="N16" i="10"/>
  <c r="N15" i="10"/>
  <c r="N13" i="10"/>
  <c r="B8" i="10"/>
  <c r="H8" i="10"/>
  <c r="E52" i="10" l="1"/>
  <c r="Y52" i="10"/>
  <c r="T52" i="10"/>
  <c r="O52" i="10"/>
  <c r="H56" i="1"/>
  <c r="H312" i="1"/>
  <c r="H288" i="1"/>
  <c r="H242" i="1"/>
  <c r="H229" i="1"/>
  <c r="H219" i="1"/>
  <c r="H213" i="1"/>
  <c r="H207" i="1"/>
  <c r="H202" i="1"/>
  <c r="H168" i="1"/>
  <c r="H115" i="1"/>
  <c r="H112" i="1"/>
  <c r="H86" i="1"/>
  <c r="H67" i="1"/>
  <c r="D147" i="7"/>
  <c r="B147" i="7"/>
  <c r="E140" i="10"/>
  <c r="E96" i="10"/>
  <c r="J110" i="1" a="1"/>
  <c r="J110" i="1" s="1"/>
  <c r="J227" i="1" a="1"/>
  <c r="J227" i="1" s="1"/>
  <c r="G227" i="1" s="1"/>
  <c r="J65" i="1" a="1"/>
  <c r="J65" i="1" s="1"/>
  <c r="L100" i="10"/>
  <c r="L106" i="10" s="1"/>
  <c r="J100" i="10"/>
  <c r="J106" i="10" s="1"/>
  <c r="I100" i="10"/>
  <c r="I106" i="10" s="1"/>
  <c r="F100" i="10"/>
  <c r="F106" i="10" s="1"/>
  <c r="F99" i="10"/>
  <c r="G312" i="1"/>
  <c r="G288" i="1"/>
  <c r="G242" i="1"/>
  <c r="G229" i="1"/>
  <c r="G219" i="1"/>
  <c r="G213" i="1"/>
  <c r="G202" i="1"/>
  <c r="G207" i="1"/>
  <c r="G168" i="1"/>
  <c r="G115" i="1"/>
  <c r="G112" i="1"/>
  <c r="G86" i="1"/>
  <c r="G56" i="1"/>
  <c r="D195" i="7"/>
  <c r="B195" i="7"/>
  <c r="J54" i="1" a="1"/>
  <c r="J54" i="1" s="1"/>
  <c r="G54" i="1" s="1"/>
  <c r="G67" i="1"/>
  <c r="D52" i="7"/>
  <c r="B52" i="7"/>
  <c r="G205" i="1"/>
  <c r="G65" i="1"/>
  <c r="J84" i="1" a="1"/>
  <c r="J84" i="1" s="1"/>
  <c r="G84" i="1" s="1"/>
  <c r="G110" i="1"/>
  <c r="F335" i="1"/>
  <c r="B351" i="1"/>
  <c r="B350" i="1"/>
  <c r="B394" i="1"/>
  <c r="B393" i="1"/>
  <c r="B388" i="1"/>
  <c r="B384" i="1"/>
  <c r="B380" i="1"/>
  <c r="B378" i="1"/>
  <c r="B374" i="1"/>
  <c r="B364" i="1"/>
  <c r="I349" i="1"/>
  <c r="C349" i="1"/>
  <c r="B348" i="1"/>
  <c r="B344" i="1"/>
  <c r="B343" i="1"/>
  <c r="B342" i="1"/>
  <c r="K341" i="1"/>
  <c r="B340" i="1"/>
  <c r="B335" i="1"/>
  <c r="B334" i="1"/>
  <c r="M4" i="10"/>
  <c r="B24" i="1"/>
  <c r="Q24" i="1" s="1"/>
  <c r="B39" i="7" s="1"/>
  <c r="B23" i="1"/>
  <c r="B20" i="1"/>
  <c r="B7" i="1"/>
  <c r="B248" i="7"/>
  <c r="B222" i="7"/>
  <c r="B204" i="7"/>
  <c r="B9" i="7"/>
  <c r="B5" i="7"/>
  <c r="B118" i="10" l="1"/>
  <c r="B119" i="10"/>
  <c r="C411" i="1"/>
  <c r="B329" i="1"/>
  <c r="D134" i="7"/>
  <c r="B134" i="7"/>
  <c r="D148" i="7"/>
  <c r="B148" i="7"/>
  <c r="D68" i="7"/>
  <c r="B68" i="7"/>
  <c r="D76" i="7"/>
  <c r="B76" i="7"/>
  <c r="D79" i="7"/>
  <c r="B79" i="7"/>
  <c r="D109" i="7"/>
  <c r="B109" i="7"/>
  <c r="D127" i="7"/>
  <c r="B127" i="7"/>
  <c r="D131" i="7"/>
  <c r="B131" i="7"/>
  <c r="D139" i="7"/>
  <c r="B139" i="7"/>
  <c r="D143" i="7"/>
  <c r="B143" i="7"/>
  <c r="D155" i="7"/>
  <c r="B155" i="7"/>
  <c r="D183" i="7"/>
  <c r="B183" i="7"/>
  <c r="D59" i="7"/>
  <c r="B59" i="7"/>
  <c r="B122" i="10"/>
  <c r="B136" i="10"/>
  <c r="B134" i="10"/>
  <c r="B132" i="10"/>
  <c r="B130" i="10"/>
  <c r="B128" i="10"/>
  <c r="B126" i="10"/>
  <c r="B124" i="10"/>
  <c r="B121" i="10"/>
  <c r="B117" i="10"/>
  <c r="B116" i="10"/>
  <c r="B114" i="10"/>
  <c r="B112" i="10"/>
  <c r="B111" i="10"/>
  <c r="B110" i="10"/>
  <c r="B109" i="10"/>
  <c r="B108" i="10"/>
  <c r="B107" i="10"/>
  <c r="B105" i="10"/>
  <c r="B104" i="10"/>
  <c r="B103" i="10"/>
  <c r="B102" i="10"/>
  <c r="B101" i="10"/>
  <c r="Q25" i="1"/>
  <c r="Q23" i="1"/>
  <c r="D37" i="7" l="1"/>
  <c r="B37" i="7"/>
  <c r="D36" i="7"/>
  <c r="B36" i="7"/>
  <c r="I15" i="1"/>
  <c r="C15" i="1"/>
  <c r="B15" i="1"/>
  <c r="B13" i="1"/>
  <c r="B4" i="3" l="1"/>
  <c r="B139" i="1"/>
  <c r="D106" i="7" l="1"/>
  <c r="D61" i="7" l="1"/>
  <c r="B33" i="7"/>
  <c r="B34" i="7"/>
  <c r="B181" i="7"/>
  <c r="B153" i="7"/>
  <c r="B137" i="7"/>
  <c r="B61" i="7"/>
  <c r="B141" i="7" l="1"/>
  <c r="B197" i="7"/>
  <c r="B50" i="7"/>
  <c r="B146" i="7"/>
  <c r="D56" i="7"/>
  <c r="B56" i="7"/>
  <c r="B55" i="7"/>
  <c r="B107" i="7"/>
  <c r="B57" i="7" l="1"/>
  <c r="B66" i="7"/>
  <c r="B162" i="7" l="1"/>
  <c r="B161" i="7"/>
  <c r="B159" i="7"/>
  <c r="E3" i="1" l="1"/>
  <c r="B2" i="1"/>
  <c r="I224" i="1" l="1"/>
  <c r="I165" i="1"/>
  <c r="I102" i="1"/>
  <c r="H261" i="1"/>
  <c r="I268" i="1"/>
  <c r="I257" i="1"/>
  <c r="I255" i="1"/>
  <c r="I164" i="1"/>
  <c r="I109" i="1"/>
  <c r="I244" i="1"/>
  <c r="I254" i="1"/>
  <c r="I263" i="1"/>
  <c r="I33" i="1"/>
  <c r="I27" i="1"/>
  <c r="I108" i="1"/>
  <c r="I107" i="1"/>
  <c r="I35" i="1"/>
  <c r="I289" i="1"/>
  <c r="I280" i="1"/>
  <c r="H252" i="1"/>
  <c r="I237" i="1"/>
  <c r="I247" i="1"/>
  <c r="I128" i="1"/>
  <c r="I126" i="1"/>
  <c r="I127" i="1"/>
  <c r="C3" i="9" l="1"/>
  <c r="B3" i="9"/>
  <c r="I145" i="1" l="1"/>
  <c r="B36" i="8" l="1"/>
  <c r="I239" i="1" l="1"/>
  <c r="I238" i="1"/>
  <c r="N23" i="3"/>
  <c r="B37" i="8" l="1"/>
  <c r="B38" i="8"/>
  <c r="H38" i="8"/>
  <c r="H37" i="8"/>
  <c r="G6" i="8" l="1"/>
  <c r="F64" i="8"/>
  <c r="B73" i="8"/>
  <c r="E70" i="8"/>
  <c r="E69" i="8"/>
  <c r="E68" i="8"/>
  <c r="E67" i="8"/>
  <c r="E66" i="8"/>
  <c r="E65" i="8"/>
  <c r="H39" i="8"/>
  <c r="H36" i="8"/>
  <c r="H35" i="8"/>
  <c r="B35" i="8"/>
  <c r="H34" i="8"/>
  <c r="B34" i="8"/>
  <c r="H31" i="8"/>
  <c r="R30" i="8"/>
  <c r="Q30" i="8"/>
  <c r="P30" i="8"/>
  <c r="O30" i="8"/>
  <c r="B26" i="8"/>
  <c r="M16" i="8"/>
  <c r="G13" i="8"/>
  <c r="B13" i="8"/>
  <c r="B327" i="1" l="1"/>
  <c r="B73" i="7"/>
  <c r="B44" i="7"/>
  <c r="B365" i="1"/>
  <c r="B371" i="1"/>
  <c r="B375" i="1"/>
  <c r="B381" i="1"/>
  <c r="D34" i="7"/>
  <c r="B337" i="1"/>
  <c r="B272" i="7"/>
  <c r="B266" i="7"/>
  <c r="B145" i="1"/>
  <c r="B144" i="1"/>
  <c r="B143" i="1"/>
  <c r="B140" i="1"/>
  <c r="B142" i="1"/>
  <c r="I140" i="1"/>
  <c r="D33" i="7"/>
  <c r="B260" i="7"/>
  <c r="B255" i="7"/>
  <c r="B32" i="7"/>
  <c r="D32" i="7"/>
  <c r="D194" i="7"/>
  <c r="D193" i="7"/>
  <c r="D192" i="7"/>
  <c r="D191" i="7"/>
  <c r="D189" i="7"/>
  <c r="D188" i="7"/>
  <c r="D187" i="7"/>
  <c r="D186" i="7"/>
  <c r="D185" i="7"/>
  <c r="D184" i="7"/>
  <c r="D180" i="7"/>
  <c r="D179" i="7"/>
  <c r="D177" i="7"/>
  <c r="D176" i="7"/>
  <c r="D174" i="7"/>
  <c r="D173" i="7"/>
  <c r="D172" i="7"/>
  <c r="D171" i="7"/>
  <c r="D170" i="7"/>
  <c r="D169" i="7"/>
  <c r="D167" i="7"/>
  <c r="D166" i="7"/>
  <c r="D165" i="7"/>
  <c r="D164" i="7"/>
  <c r="D163" i="7"/>
  <c r="D157" i="7"/>
  <c r="D156" i="7"/>
  <c r="D152" i="7"/>
  <c r="D151" i="7"/>
  <c r="D150" i="7"/>
  <c r="D149" i="7"/>
  <c r="D145" i="7"/>
  <c r="D136" i="7"/>
  <c r="D128" i="7"/>
  <c r="D117" i="7"/>
  <c r="D116" i="7"/>
  <c r="D115" i="7"/>
  <c r="D114" i="7"/>
  <c r="D110" i="7"/>
  <c r="D105" i="7"/>
  <c r="D104" i="7"/>
  <c r="D103" i="7"/>
  <c r="D100" i="7"/>
  <c r="D99" i="7"/>
  <c r="D98" i="7"/>
  <c r="D97" i="7"/>
  <c r="D95" i="7"/>
  <c r="D94" i="7"/>
  <c r="D93" i="7"/>
  <c r="D92" i="7"/>
  <c r="D91" i="7"/>
  <c r="D90" i="7"/>
  <c r="D89" i="7"/>
  <c r="D88" i="7"/>
  <c r="D87" i="7"/>
  <c r="D86" i="7"/>
  <c r="D85" i="7"/>
  <c r="D84" i="7"/>
  <c r="D83" i="7"/>
  <c r="D82" i="7"/>
  <c r="D81" i="7"/>
  <c r="D80" i="7"/>
  <c r="D73" i="7"/>
  <c r="D72" i="7"/>
  <c r="D45" i="7"/>
  <c r="D38" i="7"/>
  <c r="D41" i="7"/>
  <c r="D42" i="7"/>
  <c r="D40" i="7"/>
  <c r="B199" i="7"/>
  <c r="B198" i="7"/>
  <c r="B194" i="7"/>
  <c r="B193" i="7"/>
  <c r="B192" i="7"/>
  <c r="B191" i="7"/>
  <c r="B190" i="7"/>
  <c r="B189" i="7"/>
  <c r="B188" i="7"/>
  <c r="B187" i="7"/>
  <c r="B186" i="7"/>
  <c r="B185" i="7"/>
  <c r="B184" i="7"/>
  <c r="B180" i="7"/>
  <c r="B179" i="7"/>
  <c r="B177" i="7"/>
  <c r="B176" i="7"/>
  <c r="B174" i="7"/>
  <c r="B173" i="7"/>
  <c r="B172" i="7"/>
  <c r="B171" i="7"/>
  <c r="B170" i="7"/>
  <c r="B169" i="7"/>
  <c r="B167" i="7"/>
  <c r="B166" i="7"/>
  <c r="B165" i="7"/>
  <c r="B164" i="7"/>
  <c r="B163" i="7"/>
  <c r="B160" i="7"/>
  <c r="B158" i="7"/>
  <c r="B157" i="7"/>
  <c r="B156" i="7"/>
  <c r="B152" i="7"/>
  <c r="B151" i="7"/>
  <c r="B150" i="7"/>
  <c r="B149" i="7"/>
  <c r="B145" i="7"/>
  <c r="B144" i="7"/>
  <c r="B140" i="7"/>
  <c r="B136" i="7"/>
  <c r="B128" i="7"/>
  <c r="B117" i="7"/>
  <c r="B116" i="7"/>
  <c r="B115" i="7"/>
  <c r="B114" i="7"/>
  <c r="B113" i="7"/>
  <c r="B110" i="7"/>
  <c r="B106" i="7"/>
  <c r="B105" i="7"/>
  <c r="B104" i="7"/>
  <c r="B103" i="7"/>
  <c r="B102" i="7"/>
  <c r="B100" i="7"/>
  <c r="B99" i="7"/>
  <c r="B98" i="7"/>
  <c r="B97" i="7"/>
  <c r="B95" i="7"/>
  <c r="B94" i="7"/>
  <c r="B93" i="7"/>
  <c r="B92" i="7"/>
  <c r="B91" i="7"/>
  <c r="B90" i="7"/>
  <c r="B89" i="7"/>
  <c r="B88" i="7"/>
  <c r="B87" i="7"/>
  <c r="B86" i="7"/>
  <c r="B85" i="7"/>
  <c r="B84" i="7"/>
  <c r="B83" i="7"/>
  <c r="B82" i="7"/>
  <c r="B81" i="7"/>
  <c r="B80" i="7"/>
  <c r="B72" i="7"/>
  <c r="B71" i="7"/>
  <c r="B70" i="7"/>
  <c r="B69" i="7"/>
  <c r="B65" i="7"/>
  <c r="B47" i="7"/>
  <c r="B46" i="7"/>
  <c r="B45" i="7"/>
  <c r="B38" i="7"/>
  <c r="B41" i="7"/>
  <c r="B42" i="7"/>
  <c r="B40" i="7"/>
  <c r="B35" i="7"/>
  <c r="D35" i="7"/>
  <c r="B74" i="7" l="1"/>
  <c r="B129" i="7"/>
  <c r="B77" i="7"/>
  <c r="B125" i="7"/>
  <c r="D57" i="7" l="1"/>
  <c r="D74" i="7"/>
  <c r="D146" i="7"/>
  <c r="D77" i="7"/>
  <c r="D197" i="7"/>
  <c r="D137" i="7"/>
  <c r="D125" i="7"/>
  <c r="D66" i="7"/>
  <c r="D50" i="7"/>
  <c r="D107" i="7"/>
  <c r="D129" i="7"/>
  <c r="D141" i="7"/>
  <c r="D153" i="7"/>
  <c r="D18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D14" authorId="0" shapeId="0" xr:uid="{00000000-0006-0000-0000-000001000000}">
      <text>
        <r>
          <rPr>
            <sz val="9"/>
            <color indexed="81"/>
            <rFont val="Tahoma"/>
            <family val="2"/>
          </rPr>
          <t xml:space="preserve">
Complete - No further documentation required
LSSR - Revisions/edits needed in the Letter of Review Self Study Report 
N/A - Not Applicable
</t>
        </r>
      </text>
    </comment>
    <comment ref="E14" authorId="0" shapeId="0" xr:uid="{00000000-0006-0000-0000-000002000000}">
      <text>
        <r>
          <rPr>
            <b/>
            <sz val="9"/>
            <color indexed="81"/>
            <rFont val="Tahoma"/>
            <family val="2"/>
          </rPr>
          <t xml:space="preserve">
</t>
        </r>
        <r>
          <rPr>
            <sz val="9"/>
            <color indexed="81"/>
            <rFont val="Tahoma"/>
            <family val="2"/>
          </rPr>
          <t xml:space="preserve">Complete - No further documentation required
LSSR - Revisions/edits needed in the Letter of Review Self Study Report 
N/A - Not Applicable
</t>
        </r>
      </text>
    </comment>
    <comment ref="B25" authorId="0" shapeId="0" xr:uid="{00000000-0006-0000-0000-000003000000}">
      <text>
        <r>
          <rPr>
            <b/>
            <sz val="8"/>
            <color indexed="81"/>
            <rFont val="Tahoma"/>
            <family val="2"/>
          </rPr>
          <t>Standard I.A. Sponsoring Institution</t>
        </r>
        <r>
          <rPr>
            <sz val="8"/>
            <color indexed="81"/>
            <rFont val="Tahoma"/>
            <family val="2"/>
          </rPr>
          <t xml:space="preserve">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t>
        </r>
        <r>
          <rPr>
            <i/>
            <sz val="8"/>
            <color indexed="81"/>
            <rFont val="Tahoma"/>
            <family val="2"/>
          </rPr>
          <t xml:space="preserve"> For a distance education program, the location of program is the mailing address of the sponsor</t>
        </r>
        <r>
          <rPr>
            <sz val="9"/>
            <color indexed="81"/>
            <rFont val="Tahoma"/>
            <family val="2"/>
          </rPr>
          <t xml:space="preserve">
</t>
        </r>
      </text>
    </comment>
    <comment ref="B27" authorId="0" shapeId="0" xr:uid="{00000000-0006-0000-0000-000004000000}">
      <text>
        <r>
          <rPr>
            <sz val="9"/>
            <color indexed="81"/>
            <rFont val="Tahoma"/>
            <family val="2"/>
          </rPr>
          <t xml:space="preserve">
In the Reader Comments:
If the program holds valid institutional accreditation, include the year the current institutional accreditation status began and the year scheduled for the next review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wwg</author>
  </authors>
  <commentList>
    <comment ref="B67" authorId="0" shapeId="0" xr:uid="{00000000-0006-0000-0100-000001000000}">
      <text>
        <r>
          <rPr>
            <b/>
            <sz val="8"/>
            <color rgb="FF000000"/>
            <rFont val="Tahoma"/>
            <family val="2"/>
          </rPr>
          <t>The red triangle in the upper right corner signifies a comment.  It is revealed when the cursor is placed over the cell.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B11" authorId="0" shapeId="0" xr:uid="{00000000-0006-0000-0200-000001000000}">
      <text>
        <r>
          <rPr>
            <b/>
            <sz val="9"/>
            <color indexed="81"/>
            <rFont val="Tahoma"/>
            <family val="2"/>
          </rPr>
          <t xml:space="preserve">
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text>
    </comment>
    <comment ref="C11" authorId="0" shapeId="0" xr:uid="{00000000-0006-0000-0200-000002000000}">
      <text>
        <r>
          <rPr>
            <b/>
            <sz val="9"/>
            <color rgb="FF000000"/>
            <rFont val="Tahoma"/>
            <family val="2"/>
          </rPr>
          <t xml:space="preserve">
Site Visitors should check cell D27 (row 27 column D) of the Executive Analysis [EA] to verify the Reader and the SV Team agree on the Sponsorship of the program.  </t>
        </r>
        <r>
          <rPr>
            <sz val="9"/>
            <color rgb="FF000000"/>
            <rFont val="Tahoma"/>
            <family val="2"/>
          </rPr>
          <t xml:space="preserve">
</t>
        </r>
      </text>
    </comment>
    <comment ref="B13" authorId="0" shapeId="0" xr:uid="{BDEEFD5C-0F44-4A4C-A55A-1DAAE99F0EF6}">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r>
          <rPr>
            <sz val="9"/>
            <color indexed="81"/>
            <rFont val="Tahoma"/>
            <family val="2"/>
          </rPr>
          <t xml:space="preserve">
</t>
        </r>
      </text>
    </comment>
    <comment ref="B15" authorId="0" shapeId="0" xr:uid="{00000000-0006-0000-0200-000004000000}">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 xml:space="preserve">For a distance education program, the location of program is the mailing address of the sponsor.
</t>
        </r>
        <r>
          <rPr>
            <sz val="9"/>
            <color indexed="81"/>
            <rFont val="Tahoma"/>
            <family val="2"/>
          </rPr>
          <t xml:space="preserve">
</t>
        </r>
      </text>
    </comment>
    <comment ref="B17" authorId="0" shapeId="0" xr:uid="{00000000-0006-0000-0200-000005000000}">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Examples of unanticipated interruptions may include unexpected departure of key personnel, natural disaster, public 
   health crisis, fire, flood, power failure, failure of information technology services, or other events that may lead to 
   inaccessibility of educational services. </t>
        </r>
        <r>
          <rPr>
            <b/>
            <sz val="9"/>
            <color indexed="81"/>
            <rFont val="Tahoma"/>
            <family val="2"/>
          </rPr>
          <t xml:space="preserve">
</t>
        </r>
        <r>
          <rPr>
            <sz val="9"/>
            <color indexed="81"/>
            <rFont val="Tahoma"/>
            <family val="2"/>
          </rPr>
          <t xml:space="preserve">
</t>
        </r>
      </text>
    </comment>
    <comment ref="B18" authorId="0" shapeId="0" xr:uid="{B4A094A8-EE3E-43FD-ABE6-0E469A021C13}">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19" authorId="0" shapeId="0" xr:uid="{AB3C59AC-814C-4078-B0E9-1ABDB61AF4E1}">
      <text>
        <r>
          <rPr>
            <b/>
            <sz val="9"/>
            <color indexed="81"/>
            <rFont val="Tahoma"/>
            <family val="2"/>
          </rPr>
          <t xml:space="preserve">
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23" authorId="0" shapeId="0" xr:uid="{00000000-0006-0000-0200-000010000000}">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sz val="9"/>
            <color indexed="81"/>
            <rFont val="Tahoma"/>
            <family val="2"/>
          </rPr>
          <t xml:space="preserve">
</t>
        </r>
      </text>
    </comment>
    <comment ref="B24" authorId="0" shapeId="0" xr:uid="{C344308C-601B-4568-9A09-727B14B302F2}">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b/>
            <sz val="9"/>
            <color indexed="81"/>
            <rFont val="Tahoma"/>
            <family val="2"/>
          </rPr>
          <t xml:space="preserve">
</t>
        </r>
        <r>
          <rPr>
            <sz val="9"/>
            <color indexed="81"/>
            <rFont val="Tahoma"/>
            <family val="2"/>
          </rPr>
          <t xml:space="preserve">
</t>
        </r>
      </text>
    </comment>
    <comment ref="B32" authorId="0" shapeId="0" xr:uid="{0F84377A-B964-46CA-8DDC-CAADE0191E2A}">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t>
        </r>
        <r>
          <rPr>
            <sz val="9"/>
            <color indexed="81"/>
            <rFont val="Tahoma"/>
            <family val="2"/>
          </rPr>
          <t xml:space="preserve">
</t>
        </r>
      </text>
    </comment>
    <comment ref="B33" authorId="0" shapeId="0" xr:uid="{00000000-0006-0000-0200-00000E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
</t>
        </r>
        <r>
          <rPr>
            <sz val="9"/>
            <color indexed="81"/>
            <rFont val="Tahoma"/>
            <family val="2"/>
          </rPr>
          <t xml:space="preserve">
</t>
        </r>
      </text>
    </comment>
    <comment ref="B35" authorId="0" shapeId="0" xr:uid="{00000000-0006-0000-0200-00000D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It is recommended that the chair of the advisory committee be from one of the following groups: graduates, employers, physicians, clinical and field internship representatives, or public.
Program advisory committee meetings may be conducted using synchronous electronic means.
The program advisory committee minutes must document support of the program required minimum
numbers of patient contacts.
</t>
        </r>
        <r>
          <rPr>
            <sz val="9"/>
            <color indexed="81"/>
            <rFont val="Tahoma"/>
            <family val="2"/>
          </rPr>
          <t xml:space="preserve">
</t>
        </r>
      </text>
    </comment>
    <comment ref="B40" authorId="0" shapeId="0" xr:uid="{00000000-0006-0000-0200-000011000000}">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2" authorId="0" shapeId="0" xr:uid="{426F84F3-8E46-4A82-A86E-37D0EC4D13C3}">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4" authorId="0" shapeId="0" xr:uid="{00000000-0006-0000-0200-000013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
</t>
        </r>
        <r>
          <rPr>
            <sz val="9"/>
            <color indexed="81"/>
            <rFont val="Tahoma"/>
            <family val="2"/>
          </rPr>
          <t xml:space="preserve">
</t>
        </r>
      </text>
    </comment>
    <comment ref="B46" authorId="0" shapeId="0" xr:uid="{FFB5F89C-997E-4811-9CE6-0455961A644F}">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8" authorId="0" shapeId="0" xr:uid="{90F20A72-E1E4-4A25-B63B-959265E6F7BE}">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0" authorId="0" shapeId="0" xr:uid="{0BD76E28-646D-4D6D-8EE9-DC1881E34472}">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2" authorId="0" shapeId="0" xr:uid="{5F6AFF62-6F21-4B62-A42A-E95FA81DAE25}">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7" authorId="0" shapeId="0" xr:uid="{C8E43850-8DB3-4B46-83FB-18EF92783D16}">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9" authorId="0" shapeId="0" xr:uid="{8434E5B1-B2C8-4B3A-AF5F-2511FF90EC18}">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61" authorId="0" shapeId="0" xr:uid="{6805505C-73EB-4356-B3EB-093F3057DD78}">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63" authorId="0" shapeId="0" xr:uid="{00000000-0006-0000-0200-00001A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8" authorId="0" shapeId="0" xr:uid="{5C10DDD4-41AA-448F-8FC9-A39C69D0AB2D}">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9" authorId="0" shapeId="0" xr:uid="{6E55C4BF-9157-4129-8A09-E033A77B2218}">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71" authorId="0" shapeId="0" xr:uid="{6120B7B1-329E-4E18-A92C-A64884E02EC6}">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73" authorId="0" shapeId="0" xr:uid="{B00A30FB-3615-4252-BF8E-0D814A9709B9}">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77" authorId="0" shapeId="0" xr:uid="{DDDCCC47-C0BB-4C48-BD0D-FD3E729537F8}">
      <text>
        <r>
          <rPr>
            <b/>
            <sz val="9"/>
            <color rgb="FF000000"/>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t>
        </r>
      </text>
    </comment>
    <comment ref="B82" authorId="0" shapeId="0" xr:uid="{410EF82A-70A9-466A-AC02-CE07E9AFA557}">
      <text>
        <r>
          <rPr>
            <b/>
            <sz val="9"/>
            <color rgb="FF000000"/>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t>
        </r>
      </text>
    </comment>
    <comment ref="B88" authorId="0" shapeId="0" xr:uid="{3534186C-482E-4885-AD9F-3479345689D9}">
      <text>
        <r>
          <rPr>
            <b/>
            <sz val="9"/>
            <color indexed="81"/>
            <rFont val="Tahoma"/>
            <family val="2"/>
          </rPr>
          <t xml:space="preserve">
Standard III.B.  Personnel  
The sponsor must appoint sufficient faculty and staff with the necessary qualifications to perform the functions identified in documented job descriptions and to achieve the program’s stated goals and outcomes.
At minimum, the following positions are required: Program Director, Medical Director, Faculty/Instructional Staff.
</t>
        </r>
        <r>
          <rPr>
            <sz val="9"/>
            <color indexed="81"/>
            <rFont val="Tahoma"/>
            <family val="2"/>
          </rPr>
          <t xml:space="preserve">
</t>
        </r>
      </text>
    </comment>
    <comment ref="B98" authorId="0" shapeId="0" xr:uid="{5CF4A7BC-E70C-4027-8442-8A2BD3309DCD}">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t>
        </r>
        <r>
          <rPr>
            <sz val="9"/>
            <color indexed="81"/>
            <rFont val="Tahoma"/>
            <family val="2"/>
          </rPr>
          <t xml:space="preserve">
</t>
        </r>
      </text>
    </comment>
    <comment ref="B102" authorId="0" shapeId="0" xr:uid="{0D406AB5-7562-49AB-96BC-8CA889152DE7}">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06" authorId="0" shapeId="0" xr:uid="{00000000-0006-0000-0200-000024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07" authorId="0" shapeId="0" xr:uid="{00000000-0006-0000-0200-000027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10" authorId="0" shapeId="0" xr:uid="{00000000-0006-0000-0200-000029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13" authorId="0" shapeId="0" xr:uid="{00000000-0006-0000-0200-00002A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text>
    </comment>
    <comment ref="B117" authorId="0" shapeId="0" xr:uid="{00000000-0006-0000-0200-00002B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t>
        </r>
        <r>
          <rPr>
            <b/>
            <i/>
            <sz val="9"/>
            <color indexed="81"/>
            <rFont val="Tahoma"/>
            <family val="2"/>
          </rPr>
          <t xml:space="preserv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18" authorId="0" shapeId="0" xr:uid="{00000000-0006-0000-0200-00002D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19" authorId="0" shapeId="0" xr:uid="{00000000-0006-0000-0200-00002E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text>
    </comment>
    <comment ref="B120" authorId="0" shapeId="0" xr:uid="{00000000-0006-0000-0200-00002F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21" authorId="0" shapeId="0" xr:uid="{00000000-0006-0000-0200-000030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24" authorId="0" shapeId="0" xr:uid="{00000000-0006-0000-0200-000032000000}">
      <text>
        <r>
          <rPr>
            <b/>
            <sz val="9"/>
            <color rgb="FF000000"/>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rgb="FF000000"/>
            <rFont val="Tahoma"/>
            <family val="2"/>
          </rPr>
          <t xml:space="preserve">    It is recommended that corrective measures occur in the cases of failing academic or clinical or field internship performance</t>
        </r>
        <r>
          <rPr>
            <b/>
            <sz val="9"/>
            <color rgb="FF000000"/>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rgb="FF000000"/>
            <rFont val="Tahoma"/>
            <family val="2"/>
          </rPr>
          <t xml:space="preserve">    It is recommended that the Medical Director interaction be in a variety of settings, such as lecture, laboratory, clinical, 
    capstone field internship. Interaction may be by synchronous electronic methods</t>
        </r>
        <r>
          <rPr>
            <sz val="9"/>
            <color rgb="FF000000"/>
            <rFont val="Tahoma"/>
            <family val="2"/>
          </rPr>
          <t xml:space="preserve">
</t>
        </r>
      </text>
    </comment>
    <comment ref="B125" authorId="0" shapeId="0" xr:uid="{00000000-0006-0000-0200-000033000000}">
      <text>
        <r>
          <rPr>
            <b/>
            <sz val="9"/>
            <color indexed="81"/>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6" authorId="0" shapeId="0" xr:uid="{00000000-0006-0000-0200-000034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7" authorId="0" shapeId="0" xr:uid="{00000000-0006-0000-0200-000035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8" authorId="0" shapeId="0" xr:uid="{00000000-0006-0000-0200-000036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9" authorId="0" shapeId="0" xr:uid="{00000000-0006-0000-0200-000037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30" authorId="0" shapeId="0" xr:uid="{00000000-0006-0000-0200-000038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t>
        </r>
        <r>
          <rPr>
            <b/>
            <i/>
            <sz val="9"/>
            <color indexed="81"/>
            <rFont val="Tahoma"/>
            <family val="2"/>
          </rPr>
          <t>Director.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32" authorId="0" shapeId="0" xr:uid="{00000000-0006-0000-0200-00003A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3" authorId="0" shapeId="0" xr:uid="{00000000-0006-0000-0200-00003B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t>
        </r>
        <r>
          <rPr>
            <b/>
            <sz val="9"/>
            <color indexed="81"/>
            <rFont val="Tahoma"/>
            <family val="2"/>
          </rPr>
          <t xml:space="preserve"> </t>
        </r>
        <r>
          <rPr>
            <sz val="9"/>
            <color indexed="81"/>
            <rFont val="Tahoma"/>
            <family val="2"/>
          </rPr>
          <t xml:space="preserve">
</t>
        </r>
      </text>
    </comment>
    <comment ref="B134" authorId="0" shapeId="0" xr:uid="{00000000-0006-0000-0200-00003C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5" authorId="0" shapeId="0" xr:uid="{00000000-0006-0000-0200-00003D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6" authorId="0" shapeId="0" xr:uid="{852CEC6F-536F-4796-B46C-1D96891A4643}">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40" authorId="0" shapeId="0" xr:uid="{00000000-0006-0000-0200-00003E000000}">
      <text>
        <r>
          <rPr>
            <b/>
            <sz val="9"/>
            <color indexed="81"/>
            <rFont val="Tahoma"/>
            <family val="2"/>
          </rPr>
          <t xml:space="preserve">
Standard III.B.3.a. Associate Medical Director Responsibilities
When the program designates an Associate Medical Director, the Medical Director must specify the
delegated responsibilities.
The Associate Medical Director must
1) Fulfill responsibilities as delegated by the program Medical Director.
</t>
        </r>
        <r>
          <rPr>
            <sz val="9"/>
            <color indexed="81"/>
            <rFont val="Tahoma"/>
            <family val="2"/>
          </rPr>
          <t xml:space="preserve">
</t>
        </r>
      </text>
    </comment>
    <comment ref="B143" authorId="0" shapeId="0" xr:uid="{00000000-0006-0000-0200-00003F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44" authorId="0" shapeId="0" xr:uid="{00000000-0006-0000-0200-000040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45" authorId="0" shapeId="0" xr:uid="{00000000-0006-0000-0200-000041000000}">
      <text>
        <r>
          <rPr>
            <b/>
            <sz val="9"/>
            <color indexed="81"/>
            <rFont val="Tahoma"/>
            <family val="2"/>
          </rPr>
          <t xml:space="preserve">
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53" authorId="0" shapeId="0" xr:uid="{00000000-0006-0000-0200-000043000000}">
      <text>
        <r>
          <rPr>
            <b/>
            <sz val="9"/>
            <color indexed="81"/>
            <rFont val="Tahoma"/>
            <family val="2"/>
          </rPr>
          <t xml:space="preserve">
Standard III.B.4.a. Assistant Medical Director Responsibilities
When the program Medical Director or Associate Medical Director cannot legally provide supervision for out-of-state location(s) of the educational activities of the program, the sponsor must appoint an Assistant Medical Director.
The Assistant Medical Director must
1) Provide medical supervision and oversight of students participating in clinical rotations, field experience and capstone field internship.
</t>
        </r>
      </text>
    </comment>
    <comment ref="B156" authorId="0" shapeId="0" xr:uid="{00000000-0006-0000-0200-000044000000}">
      <text>
        <r>
          <rPr>
            <b/>
            <sz val="9"/>
            <color rgb="FF000000"/>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rgb="FF000000"/>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rgb="FF000000"/>
            <rFont val="Tahoma"/>
            <family val="2"/>
          </rPr>
          <t xml:space="preserve">
</t>
        </r>
      </text>
    </comment>
    <comment ref="B157" authorId="0" shapeId="0" xr:uid="{00000000-0006-0000-0200-000045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59" authorId="0" shapeId="0" xr:uid="{00000000-0006-0000-0200-000046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 xml:space="preserve">
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63" authorId="0" shapeId="0" xr:uid="{00000000-0006-0000-0200-000048000000}">
      <text>
        <r>
          <rPr>
            <b/>
            <sz val="9"/>
            <color indexed="81"/>
            <rFont val="Tahoma"/>
            <family val="2"/>
          </rPr>
          <t xml:space="preserve">III.B.5.a. Resources - Faculty/Instructional Staff Responsibilities 
For all didactic, laboratory, and clinical instruction to which a student is assigned, there must be qualified individual(s) clearly designated by the program to provide instruction, supervision, and timely assessments of the student’s progress in meeting program requirements.
</t>
        </r>
        <r>
          <rPr>
            <b/>
            <i/>
            <sz val="9"/>
            <color indexed="81"/>
            <rFont val="Tahoma"/>
            <family val="2"/>
          </rPr>
          <t xml:space="preserve">
It is recommended a faculty member assists in teaching and/or clinical coordination in addition to the program director.  </t>
        </r>
        <r>
          <rPr>
            <b/>
            <sz val="9"/>
            <color indexed="81"/>
            <rFont val="Tahoma"/>
            <family val="2"/>
          </rPr>
          <t xml:space="preserve"> </t>
        </r>
        <r>
          <rPr>
            <sz val="9"/>
            <color indexed="81"/>
            <rFont val="Tahoma"/>
            <family val="2"/>
          </rPr>
          <t xml:space="preserve">
</t>
        </r>
      </text>
    </comment>
    <comment ref="B170" authorId="0" shapeId="0" xr:uid="{00000000-0006-0000-0200-000049000000}">
      <text>
        <r>
          <rPr>
            <b/>
            <sz val="9"/>
            <color indexed="81"/>
            <rFont val="Tahoma"/>
            <family val="2"/>
          </rPr>
          <t xml:space="preserve">
III.B.5.b. Resources - Faculty/Instructional Staff Qualifications 
Faculty/instructional staff must be effective in teaching and knowledgeable in subject matter as documented by appropriate professional credential(s)/certification(s), education, and experience in the designated content area.
</t>
        </r>
        <r>
          <rPr>
            <b/>
            <i/>
            <sz val="9"/>
            <color indexed="81"/>
            <rFont val="Tahoma"/>
            <family val="2"/>
          </rPr>
          <t>It is recommended that faculty members be certified by a nationally recognized certifying organization at an equal or higher level of professional training than the Emergency Medical Services Profession(s) for which training is being offered.</t>
        </r>
        <r>
          <rPr>
            <sz val="9"/>
            <color indexed="81"/>
            <rFont val="Tahoma"/>
            <family val="2"/>
          </rPr>
          <t xml:space="preserve">
</t>
        </r>
      </text>
    </comment>
    <comment ref="B175" authorId="0" shapeId="0" xr:uid="{1466722C-DCE9-4545-9BB2-C16B4188AB46}">
      <text>
        <r>
          <rPr>
            <b/>
            <sz val="9"/>
            <color indexed="81"/>
            <rFont val="Tahoma"/>
            <family val="2"/>
          </rPr>
          <t xml:space="preserve">
Standard III.B.6.a. Lead Instructor Responsibilities
When the Program Director delegates specified responsibilities to a lead instructor, the Lead
Instructor must
1) Perform duties assigned under the direction and delegation of the Program Director.
</t>
        </r>
        <r>
          <rPr>
            <b/>
            <i/>
            <sz val="9"/>
            <color indexed="81"/>
            <rFont val="Tahoma"/>
            <family val="2"/>
          </rPr>
          <t>The Lead Instructor duties may include teaching paramedic or AEMT course(s) and/or assisting in coordination of the didactic, lab, clinical and/or field internship instruction.</t>
        </r>
        <r>
          <rPr>
            <sz val="9"/>
            <color indexed="81"/>
            <rFont val="Tahoma"/>
            <family val="2"/>
          </rPr>
          <t xml:space="preserve">
</t>
        </r>
      </text>
    </comment>
    <comment ref="B178" authorId="0" shapeId="0" xr:uid="{9361D5DC-C6FB-476D-A17D-2021CF0B7E2D}">
      <text>
        <r>
          <rPr>
            <b/>
            <sz val="9"/>
            <color rgb="FF000000"/>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rgb="FF000000"/>
            <rFont val="Tahoma"/>
            <family val="2"/>
          </rPr>
          <t xml:space="preserve">It is recommended that the Lead Instructors have a Bachelor’s degree.
</t>
        </r>
        <r>
          <rPr>
            <b/>
            <sz val="9"/>
            <color rgb="FF000000"/>
            <rFont val="Tahoma"/>
            <family val="2"/>
          </rPr>
          <t xml:space="preserve">The Lead Instructor role may also include providing leadership for course coordination and supervision of adjunct faculty/instructors.
</t>
        </r>
        <r>
          <rPr>
            <b/>
            <i/>
            <sz val="9"/>
            <color rgb="FF000000"/>
            <rFont val="Tahoma"/>
            <family val="2"/>
          </rPr>
          <t xml:space="preserve">
The Program Director may serve as the Lead Instructor.</t>
        </r>
      </text>
    </comment>
    <comment ref="B180" authorId="0" shapeId="0" xr:uid="{00000000-0006-0000-0200-00004D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1" authorId="0" shapeId="0" xr:uid="{00000000-0006-0000-0200-00004E000000}">
      <text>
        <r>
          <rPr>
            <b/>
            <sz val="9"/>
            <color indexed="81"/>
            <rFont val="Tahoma"/>
            <family val="2"/>
          </rPr>
          <t xml:space="preserve">
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2" authorId="0" shapeId="0" xr:uid="{00000000-0006-0000-0200-00004F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3" authorId="0" shapeId="0" xr:uid="{00000000-0006-0000-0200-000050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7" authorId="0" shapeId="0" xr:uid="{8DA32E53-7771-42C2-8AC2-3B4E81C2C8FE}">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r>
          <rPr>
            <sz val="9"/>
            <color indexed="81"/>
            <rFont val="Tahoma"/>
            <family val="2"/>
          </rPr>
          <t xml:space="preserve">
</t>
        </r>
      </text>
    </comment>
    <comment ref="B188" authorId="0" shapeId="0" xr:uid="{9A86154D-9FF2-4F35-B341-8E1D270F59E9}">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89" authorId="0" shapeId="0" xr:uid="{B0AEB33B-696A-459F-BCA8-51BB468E3394}">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91" authorId="0" shapeId="0" xr:uid="{2639FC4D-1BC4-46E5-8A1B-A16FED46EF4D}">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94" authorId="0" shapeId="0" xr:uid="{71F7BF7D-034B-4D53-9CD5-A7E495C11D8B}">
      <text>
        <r>
          <rPr>
            <b/>
            <sz val="9"/>
            <color rgb="FF000000"/>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rgb="FF000000"/>
            <rFont val="Tahoma"/>
            <family val="2"/>
          </rPr>
          <t>The Clinical Coordinator may be an EMS faculty member with other teaching responsibilities or
assignments.</t>
        </r>
      </text>
    </comment>
    <comment ref="B195" authorId="0" shapeId="0" xr:uid="{5B9BA73D-71E3-4995-9964-71B3F63F1C11}">
      <text>
        <r>
          <rPr>
            <b/>
            <sz val="9"/>
            <color indexed="81"/>
            <rFont val="Tahoma"/>
            <family val="2"/>
          </rPr>
          <t xml:space="preserve">
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The Clinical Coordinator may be an EMS faculty member with other teaching responsibilities or
assignments.</t>
        </r>
      </text>
    </comment>
    <comment ref="B196" authorId="0" shapeId="0" xr:uid="{9FAF2D20-A4CB-4A78-9746-9401CE1B2DF8}">
      <text>
        <r>
          <rPr>
            <b/>
            <sz val="9"/>
            <color indexed="81"/>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 xml:space="preserve">
The Clinical Coordinator may be an EMS faculty member with other teaching responsibilities or
assignments.</t>
        </r>
      </text>
    </comment>
    <comment ref="B198" authorId="0" shapeId="0" xr:uid="{00000000-0006-0000-0200-000054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03" authorId="0" shapeId="0" xr:uid="{00000000-0006-0000-0200-000052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08" authorId="0" shapeId="0" xr:uid="{00000000-0006-0000-0200-000055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14" authorId="0" shapeId="0" xr:uid="{A478D861-832A-4DB1-A37B-074A65C9EEC7}">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220" authorId="0" shapeId="0" xr:uid="{29D5F5A3-95E4-4E53-AB36-9D6E776FF26D}">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224" authorId="0" shapeId="0" xr:uid="{00000000-0006-0000-0200-000058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0" authorId="0" shapeId="0" xr:uid="{00000000-0006-0000-0200-000059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1" authorId="0" shapeId="0" xr:uid="{00000000-0006-0000-0200-00005A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2" authorId="0" shapeId="0" xr:uid="{00000000-0006-0000-0200-00005B000000}">
      <text>
        <r>
          <rPr>
            <b/>
            <sz val="9"/>
            <color indexed="81"/>
            <rFont val="Tahoma"/>
            <family val="2"/>
          </rPr>
          <t xml:space="preserve">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 </t>
        </r>
        <r>
          <rPr>
            <sz val="9"/>
            <color indexed="81"/>
            <rFont val="Tahoma"/>
            <family val="2"/>
          </rPr>
          <t xml:space="preserve">
</t>
        </r>
      </text>
    </comment>
    <comment ref="B237" authorId="0" shapeId="0" xr:uid="{00000000-0006-0000-0200-00005C000000}">
      <text>
        <r>
          <rPr>
            <b/>
            <sz val="9"/>
            <color rgb="FF000000"/>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 referenced, summative, comprehensive final evaluations in all learning domains at the completion of the program.
</t>
        </r>
        <r>
          <rPr>
            <b/>
            <i/>
            <sz val="9"/>
            <color rgb="FF000000"/>
            <rFont val="Tahoma"/>
            <family val="2"/>
          </rPr>
          <t>Validity means that the evaluation methods chosen are consistent with the learning and performance objectives being tested.</t>
        </r>
      </text>
    </comment>
    <comment ref="B243" authorId="0" shapeId="0" xr:uid="{00000000-0006-0000-0200-00005D000000}">
      <text>
        <r>
          <rPr>
            <b/>
            <sz val="9"/>
            <color indexed="81"/>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 referenced, summative, comprehensive final evaluations in all learning domains at the completion of the program.
</t>
        </r>
        <r>
          <rPr>
            <b/>
            <i/>
            <sz val="9"/>
            <color indexed="81"/>
            <rFont val="Tahoma"/>
            <family val="2"/>
          </rPr>
          <t xml:space="preserve">
Validity means that the evaluation methods chosen are consistent with the learning and performance objectives being tested.</t>
        </r>
        <r>
          <rPr>
            <sz val="9"/>
            <color indexed="81"/>
            <rFont val="Tahoma"/>
            <family val="2"/>
          </rPr>
          <t xml:space="preserve">
</t>
        </r>
      </text>
    </comment>
    <comment ref="B247" authorId="0" shapeId="0" xr:uid="{00000000-0006-0000-0200-00005E000000}">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48" authorId="0" shapeId="0" xr:uid="{A22AD483-C2E8-45CB-B0E8-C26DC25E8652}">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52" authorId="0" shapeId="0" xr:uid="{3D464D72-C319-456C-8718-F11BF43BE9E3}">
      <text>
        <r>
          <rPr>
            <sz val="9"/>
            <color indexed="81"/>
            <rFont val="Tahoma"/>
            <family val="2"/>
          </rPr>
          <t xml:space="preserve">
I</t>
        </r>
        <r>
          <rPr>
            <b/>
            <sz val="9"/>
            <color indexed="81"/>
            <rFont val="Tahoma"/>
            <family val="2"/>
          </rPr>
          <t xml:space="preserve">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55" authorId="0" shapeId="0" xr:uid="{DE0C067F-D35E-4D67-B068-E6DB03EF9386}">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57" authorId="0" shapeId="0" xr:uid="{E7C88B32-A79D-44EE-A944-A1E802F42978}">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61" authorId="0" shapeId="0" xr:uid="{4D4F6AE1-9D49-43AF-A18B-3867CE92565C}">
      <text>
        <r>
          <rPr>
            <b/>
            <sz val="9"/>
            <color indexed="81"/>
            <rFont val="Tahoma"/>
            <family val="2"/>
          </rPr>
          <t xml:space="preserve">
IV.B.2.  Outcomes Reporting
At least annually, the program must periodically submit to the CoAEMSP the program goal(s), outcomes assessment results, and an analysis of the results.
If established outcomes thresholds are not met, the program must participate in a dialogue with and submit an action plan to the CoAEMSP that responds to the identified deficiency(ies). The action plan must include an analysis of any deficiencies, corrective steps, and timeline for implementation. The program must assess the effectiveness of the corrective steps. 
</t>
        </r>
        <r>
          <rPr>
            <sz val="9"/>
            <color indexed="81"/>
            <rFont val="Tahoma"/>
            <family val="2"/>
          </rPr>
          <t xml:space="preserve">
</t>
        </r>
      </text>
    </comment>
    <comment ref="B267" authorId="0" shapeId="0" xr:uid="{00000000-0006-0000-0200-000064000000}">
      <text>
        <r>
          <rPr>
            <b/>
            <sz val="9"/>
            <color indexed="81"/>
            <rFont val="Tahoma"/>
            <family val="2"/>
          </rPr>
          <t xml:space="preserve">V.A.1. Fair Practices-Publications and Disclosure
Announcements, catalogs, publications, advertising, and websites must accurately reflect the program offered. </t>
        </r>
        <r>
          <rPr>
            <sz val="9"/>
            <color indexed="81"/>
            <rFont val="Tahoma"/>
            <family val="2"/>
          </rPr>
          <t xml:space="preserve">
</t>
        </r>
      </text>
    </comment>
    <comment ref="B268" authorId="0" shapeId="0" xr:uid="{00000000-0006-0000-0200-000065000000}">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69" authorId="0" shapeId="0" xr:uid="{5655F3B1-2113-4F50-93E2-4FFEC9FB20B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0" authorId="0" shapeId="0" xr:uid="{150B0070-1C42-450F-BC8D-C1473F44C55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1" authorId="0" shapeId="0" xr:uid="{FE624EA5-46C4-4240-80E0-BA4BE8DCCBC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2" authorId="0" shapeId="0" xr:uid="{C239DBAE-5396-44B4-BDA0-DCDBFCE922D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3" authorId="0" shapeId="0" xr:uid="{CD686C5F-BCCE-41EA-9A24-1E6BBC327487}">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4" authorId="0" shapeId="0" xr:uid="{D3650BCF-1168-4EA0-91EE-72229A96E95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5" authorId="0" shapeId="0" xr:uid="{6E14B8D6-5581-4763-BE3D-FA7589FA6CB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6" authorId="0" shapeId="0" xr:uid="{D6F45CAD-A6B4-41F3-B889-DC9E84AB260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7" authorId="0" shapeId="0" xr:uid="{93162A6F-1CB0-4F60-B144-0F7E66501DC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8" authorId="0" shapeId="0" xr:uid="{94B4A542-2658-4E7B-B0CD-E64C180C856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9" authorId="0" shapeId="0" xr:uid="{97C71E1E-F067-4EB1-B16F-50AEA96BF69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80" authorId="0" shapeId="0" xr:uid="{00000000-0006-0000-0200-00006F000000}">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1" authorId="0" shapeId="0" xr:uid="{FD5E01D4-C9B7-4F3F-8553-4353D555366C}">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2" authorId="0" shapeId="0" xr:uid="{211C5424-A4B9-48D6-A87D-99F41D0784C7}">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3" authorId="0" shapeId="0" xr:uid="{00000000-0006-0000-0200-000071000000}">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85" authorId="0" shapeId="0" xr:uid="{48CF14E8-2FB8-47CC-9FE5-BAFD4FC77423}">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89" authorId="0" shapeId="0" xr:uid="{00000000-0006-0000-0200-000074000000}">
      <text>
        <r>
          <rPr>
            <b/>
            <sz val="9"/>
            <color indexed="81"/>
            <rFont val="Tahoma"/>
            <family val="2"/>
          </rPr>
          <t xml:space="preserve">Standard V.A.4. Publications and Disclosures
The sponsor must maintain and make available to the public on its website a current and consistent
summary of student/graduate achievement that includes the results of one or more of these program
outcomes: national or state credentialing examination(s), programmatic retention, and placement in full or
part-time employment or volunteering in the profession or a related profession as established by the
CoAEMSP.
</t>
        </r>
        <r>
          <rPr>
            <b/>
            <i/>
            <sz val="9"/>
            <color indexed="81"/>
            <rFont val="Tahoma"/>
            <family val="2"/>
          </rPr>
          <t>It is recommended that the sponsor develop a suitable means of communicating to the communities of
interest the achievement of students/graduates (e.g., through a website or electronic or printed
documents).</t>
        </r>
        <r>
          <rPr>
            <b/>
            <sz val="9"/>
            <color indexed="81"/>
            <rFont val="Tahoma"/>
            <family val="2"/>
          </rPr>
          <t xml:space="preserve">
</t>
        </r>
        <r>
          <rPr>
            <sz val="9"/>
            <color indexed="81"/>
            <rFont val="Tahoma"/>
            <family val="2"/>
          </rPr>
          <t xml:space="preserve">
</t>
        </r>
      </text>
    </comment>
    <comment ref="B291" authorId="0" shapeId="0" xr:uid="{00000000-0006-0000-0200-000075000000}">
      <text>
        <r>
          <rPr>
            <b/>
            <sz val="9"/>
            <color rgb="FF000000"/>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rgb="FF000000"/>
            <rFont val="Tahoma"/>
            <family val="2"/>
          </rPr>
          <t xml:space="preserve">
</t>
        </r>
      </text>
    </comment>
    <comment ref="B294" authorId="0" shapeId="0" xr:uid="{00000000-0006-0000-0200-000076000000}">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96" authorId="0" shapeId="0" xr:uid="{15A22011-3CC7-473A-9CE4-B37A0C86384D}">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99" authorId="0" shapeId="0" xr:uid="{00000000-0006-0000-0200-000078000000}">
      <text>
        <r>
          <rPr>
            <b/>
            <sz val="9"/>
            <color rgb="FF000000"/>
            <rFont val="Tahoma"/>
            <family val="2"/>
          </rPr>
          <t>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t>
        </r>
        <r>
          <rPr>
            <sz val="9"/>
            <color rgb="FF000000"/>
            <rFont val="Tahoma"/>
            <family val="2"/>
          </rPr>
          <t xml:space="preserve">
</t>
        </r>
      </text>
    </comment>
    <comment ref="B301" authorId="0" shapeId="0" xr:uid="{00000000-0006-0000-0200-000079000000}">
      <text>
        <r>
          <rPr>
            <b/>
            <sz val="9"/>
            <color indexed="81"/>
            <rFont val="Tahoma"/>
            <family val="2"/>
          </rPr>
          <t xml:space="preserve">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 </t>
        </r>
        <r>
          <rPr>
            <sz val="9"/>
            <color indexed="81"/>
            <rFont val="Tahoma"/>
            <family val="2"/>
          </rPr>
          <t xml:space="preserve">
</t>
        </r>
      </text>
    </comment>
    <comment ref="B303" authorId="0" shapeId="0" xr:uid="{E7CF8BC8-F580-454A-9A9D-CA15444A2DC8}">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5" authorId="0" shapeId="0" xr:uid="{AFAAF726-DF93-4BAF-8128-F4C8164CBF2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6" authorId="0" shapeId="0" xr:uid="{FA011765-E3EA-4780-86DC-7C3FC9A7B94D}">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7" authorId="0" shapeId="0" xr:uid="{14316F25-785E-41CB-8815-54371F6D9E9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8" authorId="0" shapeId="0" xr:uid="{00000000-0006-0000-0200-00007E000000}">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14" authorId="0" shapeId="0" xr:uid="{440C1A37-0C4C-4B38-AC7F-850DBF6424C7}">
      <text>
        <r>
          <rPr>
            <b/>
            <sz val="9"/>
            <color indexed="81"/>
            <rFont val="Tahoma"/>
            <family val="2"/>
          </rPr>
          <t>V.E. Fair Practices-Substantive Change
The sponsor must report substantive change(s) as described in Appendix A to the CAAHEP/CoAEMSP in a timely manner. Additional substantive changes to be reported to CoAEMSP within the time limits prescribed include:
1. Change in sponsorship;
2. Change in location;
3. Addition of a satellite location;
4. Addition of an alternate location; and
5. Addition of a distance learning program</t>
        </r>
      </text>
    </comment>
    <comment ref="B320" authorId="0" shapeId="0" xr:uid="{052CF9FA-DF2E-4AA6-A17D-A845A6A2D4E9}">
      <text>
        <r>
          <rPr>
            <b/>
            <sz val="9"/>
            <color indexed="81"/>
            <rFont val="Tahoma"/>
            <family val="2"/>
          </rPr>
          <t>V.F. Fair Practices-Agreements
There must be a formal affiliation agreement or memorandum of understanding between the program sponsor and all other entities that participate in the education of the students describing the relationship, roles, and responsibilities of the program sponsor and that entity.</t>
        </r>
        <r>
          <rPr>
            <sz val="9"/>
            <color indexed="81"/>
            <rFont val="Tahoma"/>
            <family val="2"/>
          </rPr>
          <t xml:space="preserve">
</t>
        </r>
      </text>
    </comment>
    <comment ref="B341" authorId="0" shapeId="0" xr:uid="{00000000-0006-0000-0200-000081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r>
          <rPr>
            <sz val="9"/>
            <color indexed="81"/>
            <rFont val="Tahoma"/>
            <family val="2"/>
          </rPr>
          <t xml:space="preserve">
</t>
        </r>
      </text>
    </comment>
    <comment ref="L341" authorId="0" shapeId="0" xr:uid="{00000000-0006-0000-0200-000082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<sst xmlns="http://schemas.openxmlformats.org/spreadsheetml/2006/main" count="1187" uniqueCount="907">
  <si>
    <t>Staff:</t>
  </si>
  <si>
    <t>Committee on Accreditation of Educational Programs for the EMS Professions (CoAEMSP), in cooperation with the Commission on Accreditation of Allied Health Education Programs (CAAHEP)</t>
  </si>
  <si>
    <t>State:</t>
  </si>
  <si>
    <t>Names of the Site Visit Team Members:</t>
  </si>
  <si>
    <t>Team Captain:</t>
  </si>
  <si>
    <t>Team Member:</t>
  </si>
  <si>
    <t>(if applicable)</t>
  </si>
  <si>
    <t>INSTRUCTIONS TO THE SITE VISIT TEAM</t>
  </si>
  <si>
    <t>NOTE: Email completed report to Jennifer Anderson Warwick.</t>
  </si>
  <si>
    <t>QUESTIONS?      Call Jennifer at 214-703-8445 x114</t>
  </si>
  <si>
    <t>Standard Reference</t>
  </si>
  <si>
    <t>Standard</t>
  </si>
  <si>
    <t>I. Sponsorship</t>
  </si>
  <si>
    <t>II. Program Goals</t>
  </si>
  <si>
    <t>II.B.</t>
  </si>
  <si>
    <t>III. Resources</t>
  </si>
  <si>
    <t>A. Type and Amount</t>
  </si>
  <si>
    <t>1. Program Resources</t>
  </si>
  <si>
    <r>
      <t xml:space="preserve">2015 CAAHEP </t>
    </r>
    <r>
      <rPr>
        <b/>
        <i/>
        <sz val="24"/>
        <color theme="0"/>
        <rFont val="Arial"/>
        <family val="2"/>
      </rPr>
      <t>Standards &amp; Guidelines</t>
    </r>
  </si>
  <si>
    <t>I.A.</t>
  </si>
  <si>
    <t>Thomas Platt, EdD, NRP</t>
  </si>
  <si>
    <t>III.A.1.</t>
  </si>
  <si>
    <t>Faculty</t>
  </si>
  <si>
    <t>Curriculum</t>
  </si>
  <si>
    <t>Finances</t>
  </si>
  <si>
    <t>III.A.2.</t>
  </si>
  <si>
    <t>III.B.</t>
  </si>
  <si>
    <t>The sponsor must appoint sufficient faculty and staff with the necessary qualifications to perform the functions identified in documented job descriptions and to achieve the program's stated goals and outcomes.</t>
  </si>
  <si>
    <t xml:space="preserve">    a. Responsibilities
    The Program Director must be responsible for all aspects of the program, including but not limited to:</t>
  </si>
  <si>
    <t>III.B.1.a.1)</t>
  </si>
  <si>
    <t>III.B.1.a.2)</t>
  </si>
  <si>
    <t>III.B.1.a.3)</t>
  </si>
  <si>
    <t>III.B.1.a.4)</t>
  </si>
  <si>
    <t xml:space="preserve">    b. Qualifications    </t>
  </si>
  <si>
    <t>III.B.1.b.1)</t>
  </si>
  <si>
    <t>III.B.1.b.2)</t>
  </si>
  <si>
    <t>III.B.1.b.3)</t>
  </si>
  <si>
    <t>III.B.1.b.4)</t>
  </si>
  <si>
    <t>III.B.1.b.5)</t>
  </si>
  <si>
    <t>III.B.2.a.1)</t>
  </si>
  <si>
    <t>III.B.2.a.2)</t>
  </si>
  <si>
    <t>III.B.2.a.3)</t>
  </si>
  <si>
    <t>III.B.2.a.4)</t>
  </si>
  <si>
    <t>III.B.2.a.5)</t>
  </si>
  <si>
    <t>III.B.2.a.6)</t>
  </si>
  <si>
    <t xml:space="preserve">    a. Responsibilities   </t>
  </si>
  <si>
    <t xml:space="preserve">    c. Curriculum    </t>
  </si>
  <si>
    <t>III.C.1.</t>
  </si>
  <si>
    <t>III.C.2.</t>
  </si>
  <si>
    <t>III.C.3.</t>
  </si>
  <si>
    <t>III.D.</t>
  </si>
  <si>
    <t>Annually assess appropriateness &amp; effectiveness of required resources</t>
  </si>
  <si>
    <t>Action plan developed when deficiencies identified</t>
  </si>
  <si>
    <t>Documentation of action plan and measurement of results</t>
  </si>
  <si>
    <t>IV. Student and Graduate Evaluation / Assessment</t>
  </si>
  <si>
    <t>A. Student Evaluation</t>
  </si>
  <si>
    <t>1. Frequency &amp; Purpose</t>
  </si>
  <si>
    <t>IV.A.1.</t>
  </si>
  <si>
    <t>Evaluation conducted on a recurrent basis, sufficient frequency to provide students &amp; faculty with valid &amp; timely indications of progress of toward achievement of competencies &amp; learning domains</t>
  </si>
  <si>
    <t xml:space="preserve">    2. Documentation</t>
  </si>
  <si>
    <t>IV.B.1.</t>
  </si>
  <si>
    <t xml:space="preserve">    B. Outcomes          </t>
  </si>
  <si>
    <t>IV.B.2.</t>
  </si>
  <si>
    <t>V. Fair Practices</t>
  </si>
  <si>
    <t>A. Publications &amp; Disclosure</t>
  </si>
  <si>
    <t>V.A.1.</t>
  </si>
  <si>
    <t>V.A.2.</t>
  </si>
  <si>
    <t>V.A.3.</t>
  </si>
  <si>
    <t>V.B.</t>
  </si>
  <si>
    <t>Faculty grievance procedure known to all paid faculty</t>
  </si>
  <si>
    <t>C. Safeguards</t>
  </si>
  <si>
    <t>V.C.</t>
  </si>
  <si>
    <t>Students are not substituted for paid staff</t>
  </si>
  <si>
    <t>D. Student Records</t>
  </si>
  <si>
    <t>V.D.</t>
  </si>
  <si>
    <t xml:space="preserve">          Advisement</t>
  </si>
  <si>
    <t xml:space="preserve">          Counseling</t>
  </si>
  <si>
    <t xml:space="preserve">          Evaluation</t>
  </si>
  <si>
    <t xml:space="preserve">          Student grievance procedure</t>
  </si>
  <si>
    <t xml:space="preserve">          Admissions policies &amp; practices</t>
  </si>
  <si>
    <t>E. Substantive Change</t>
  </si>
  <si>
    <t>V.E.</t>
  </si>
  <si>
    <t>F. Agreements</t>
  </si>
  <si>
    <t>V.F.</t>
  </si>
  <si>
    <t>Hyperlinks =&gt;</t>
  </si>
  <si>
    <t>Hover to see standard</t>
  </si>
  <si>
    <t>Program-specific statements of goals and learning domains provide the basis for program planning, implementation, and evaluation.</t>
  </si>
  <si>
    <t>Inspection of labs</t>
  </si>
  <si>
    <t xml:space="preserve">Reviewed schedule   </t>
  </si>
  <si>
    <t>Committee on Accreditation of Educational Programs
for the Emergency Medical Services Professions</t>
  </si>
  <si>
    <t>SSR Type:</t>
  </si>
  <si>
    <t>2015 Standards</t>
  </si>
  <si>
    <t>1st Submsn</t>
  </si>
  <si>
    <t>2nd Submsn</t>
  </si>
  <si>
    <t>Program ID#:</t>
  </si>
  <si>
    <t>EA Tracking</t>
  </si>
  <si>
    <t>Dates</t>
  </si>
  <si>
    <t>Sponsor Name:</t>
  </si>
  <si>
    <t>Yes</t>
  </si>
  <si>
    <t>No</t>
  </si>
  <si>
    <t>N/A</t>
  </si>
  <si>
    <t>PROGRAM INFORMATION</t>
  </si>
  <si>
    <t xml:space="preserve"> STANDARD I: SPONSORSHIP</t>
  </si>
  <si>
    <t>Lead Instructor(s)</t>
  </si>
  <si>
    <t>[if applicable]</t>
  </si>
  <si>
    <t xml:space="preserve">Associate MD(s) </t>
  </si>
  <si>
    <t>Other Reader Comments:</t>
  </si>
  <si>
    <t>Reader Review Completed by:</t>
  </si>
  <si>
    <t>For CoAEMSP Use Only-Administrative Requirements</t>
  </si>
  <si>
    <t xml:space="preserve">Fees paid </t>
  </si>
  <si>
    <t>Date</t>
  </si>
  <si>
    <t>Comments</t>
  </si>
  <si>
    <t>Final Review/Approval by Dr. Hatch</t>
  </si>
  <si>
    <t xml:space="preserve">For questions, contact: </t>
  </si>
  <si>
    <t>George W Hatch, Jr, EdD, LP, EMT-P</t>
  </si>
  <si>
    <t>Executive Director</t>
  </si>
  <si>
    <t>george@coaemsp.org</t>
  </si>
  <si>
    <t>214-703-8445 ext 112</t>
  </si>
  <si>
    <t>City:</t>
  </si>
  <si>
    <t>Chris Nollette, EdD, NRP, LP</t>
  </si>
  <si>
    <t>Megan Corry, EdD, NRP</t>
  </si>
  <si>
    <t xml:space="preserve">          Standard II. 
        Program Goals</t>
  </si>
  <si>
    <t xml:space="preserve">     Standard III.
     Resources</t>
  </si>
  <si>
    <t xml:space="preserve">          Standard IV. 
          Evaluation/Assessment</t>
  </si>
  <si>
    <t>&lt;=== Hovering your cursor over a cell with 
         a red triangle in upper right corner
         reveals text.  Try it.</t>
  </si>
  <si>
    <t>CoAEMSP 
Program #:</t>
  </si>
  <si>
    <t>Program Director (PD)</t>
  </si>
  <si>
    <t>Evidence of documentation of implemented changes</t>
  </si>
  <si>
    <t xml:space="preserve">Periodically assesses effectiveness in achieving stated goals &amp; learning domains  </t>
  </si>
  <si>
    <t>Associate Medical Director(s)</t>
  </si>
  <si>
    <t xml:space="preserve">B. Personnel </t>
  </si>
  <si>
    <t>III.B.2.b.1)</t>
  </si>
  <si>
    <t>III.B.2.b.2)</t>
  </si>
  <si>
    <t>III.B.2.b.3)</t>
  </si>
  <si>
    <t>III.B.2.b.4)</t>
  </si>
  <si>
    <t>III.B.5.a.</t>
  </si>
  <si>
    <t>III.B.5.b.</t>
  </si>
  <si>
    <t xml:space="preserve">    b. Qualifications (PD)    </t>
  </si>
  <si>
    <t xml:space="preserve">    b. Qualifications (MD)    </t>
  </si>
  <si>
    <t>1. Program Director (PD)</t>
  </si>
  <si>
    <t>2. Medical Director (MD)</t>
  </si>
  <si>
    <t>3. Associate Medical Director (Assoc MD)</t>
  </si>
  <si>
    <t>Written statement of program’s goals and learning domains</t>
  </si>
  <si>
    <t>Consistent with and responsive to demonstrated needs and expectations of the various communities of interest served by the educational program</t>
  </si>
  <si>
    <t>Regularly assesses goals and learning domains</t>
  </si>
  <si>
    <t>Program personnel identify and respond to changes in the needs and/or expectations of its communities of interest</t>
  </si>
  <si>
    <t>Review &amp; approval of required minimum numbers for each of the required patient contacts and procedures</t>
  </si>
  <si>
    <t>Ensures the competence of each graduate in cognitive, psychomotor, &amp; affective domains</t>
  </si>
  <si>
    <t>Engages in cooperative involvement with Program Director</t>
  </si>
  <si>
    <t>III.B.2.a.7)</t>
  </si>
  <si>
    <t>4. Assistant Medical Director (Assist MD)</t>
  </si>
  <si>
    <t>5. Faculty / Instructional Staff</t>
  </si>
  <si>
    <t>Instruction based on clearly written course syllabi that include course description, course objectives, methods of evaluation, topic outline, &amp; competencies required for graduation</t>
  </si>
  <si>
    <t>Assessment results are the basis for planning &amp; change</t>
  </si>
  <si>
    <t>Assessment of the achievement of required competencies through criterion-referenced, summative, comprehensive final evaluations in all learning domains</t>
  </si>
  <si>
    <t>Records maintained in sufficient detail to document learning progress &amp; achievements, including all program required minimum competencies in all learning domains in the didactic, laboratory, clinical and field experience/internship phases</t>
  </si>
  <si>
    <t>IV.A.2.a.</t>
  </si>
  <si>
    <t>IV.A.2.b.</t>
  </si>
  <si>
    <t>Tracks and documents each student successfully meets each established minimum patient/skill requirements for the appropriate exit point according to patient age-range, chief complaint, and interventions</t>
  </si>
  <si>
    <t>Periodically submits goal(s), learning domains, evaluation systems, outcomes, analysis of outcomes &amp; appropriate action plan based on the analysis</t>
  </si>
  <si>
    <t>V.A.4.</t>
  </si>
  <si>
    <t>Maintains and makes available current &amp; consistent summary information about student/graduate achievements on required outcomes assessments</t>
  </si>
  <si>
    <t>B. Lawful &amp; Non-discriminatory Practices</t>
  </si>
  <si>
    <t>Notification to State Office(s) of EMS for all states the program has educational activities</t>
  </si>
  <si>
    <t>Formal affiliation agreements or MOUs exist between the sponsor and all other entities that participate in education of students describing relationship, role, and responsibilities of sponsor and entity</t>
  </si>
  <si>
    <t>a.</t>
  </si>
  <si>
    <t>c.</t>
  </si>
  <si>
    <t>d.</t>
  </si>
  <si>
    <t>e.</t>
  </si>
  <si>
    <t>f.</t>
  </si>
  <si>
    <t>g.</t>
  </si>
  <si>
    <t>h.</t>
  </si>
  <si>
    <t>i.</t>
  </si>
  <si>
    <t>j.</t>
  </si>
  <si>
    <t>k.</t>
  </si>
  <si>
    <t>l.</t>
  </si>
  <si>
    <t>m.</t>
  </si>
  <si>
    <t>n.</t>
  </si>
  <si>
    <t>o.</t>
  </si>
  <si>
    <t>Rationale</t>
  </si>
  <si>
    <t>PRESENT AT EXIT SUMMATION</t>
  </si>
  <si>
    <t>List the names and their titles of those present at the summation conference</t>
  </si>
  <si>
    <t>Title</t>
  </si>
  <si>
    <t>SIGNATURES OF SITE VISIT TEAM MEMBERS</t>
  </si>
  <si>
    <t>Printed Name</t>
  </si>
  <si>
    <t>Phone Number</t>
  </si>
  <si>
    <t>Email</t>
  </si>
  <si>
    <t>Standard III.B.5.a. Faculty/Inst Staff Responsibilities</t>
  </si>
  <si>
    <t>Standard III.B.6.a. Lead Instructor Responsibilities</t>
  </si>
  <si>
    <t>Standard III.D. Resource Assessment</t>
  </si>
  <si>
    <t>Standard IV.A.1. Stud Eval - Frequency &amp; Purpose</t>
  </si>
  <si>
    <t>Standard IV.B.1. Outcomes Assessment</t>
  </si>
  <si>
    <t>Standard V.B. Lawful &amp; Non-discrim Practices</t>
  </si>
  <si>
    <t>Standard V.C. Safeguards</t>
  </si>
  <si>
    <t>Standard V.D. Student Records</t>
  </si>
  <si>
    <t>Standard V.E. Substantive Change</t>
  </si>
  <si>
    <t>Standard V.F. Agreements</t>
  </si>
  <si>
    <t>Additional Comments</t>
  </si>
  <si>
    <t>SUMMARY OF FINDINGS</t>
  </si>
  <si>
    <t>Continuous quality review and improvement of the educational program</t>
  </si>
  <si>
    <t xml:space="preserve">Administration, organization, supervision of the educational program </t>
  </si>
  <si>
    <t>Standard III.B.5.b. Faculty/Inst Staff Responsibilities</t>
  </si>
  <si>
    <t>Lance Villers, PhD, LP</t>
  </si>
  <si>
    <t>Checking this box constitutes an electronic signature</t>
  </si>
  <si>
    <t xml:space="preserve">          Criteria for successful completion of each 
          program segment &amp; graduation</t>
  </si>
  <si>
    <t>Results reflected in the reviews &amp; timely revision of program</t>
  </si>
  <si>
    <t xml:space="preserve">          Technical standards</t>
  </si>
  <si>
    <t>b.</t>
  </si>
  <si>
    <t>Appropriate sequence of classroom, laboratory, clinical, &amp; field internship experience, and capstone field internship activities</t>
  </si>
  <si>
    <t>Team Member (if applicable):</t>
  </si>
  <si>
    <t>Possible Evidence May Include - OR -
Additional Evidence Reviewed</t>
  </si>
  <si>
    <t>Teaching and administrative workload assignments</t>
  </si>
  <si>
    <t>Please Select</t>
  </si>
  <si>
    <t>I.A.1-Post-secondary</t>
  </si>
  <si>
    <t xml:space="preserve">                 For empty rows, highlight them, right click, and choose hide.  Do not delete any rows.  </t>
  </si>
  <si>
    <t>I.A.4-Governmental</t>
  </si>
  <si>
    <t>Inactive</t>
  </si>
  <si>
    <t>Standard III.B. Personnel</t>
  </si>
  <si>
    <t>Standard III.B.1.a.1. PD Responsibilities</t>
  </si>
  <si>
    <t>Standard III.B.1.a.2. PD Responsibilities</t>
  </si>
  <si>
    <t>Standard III.B.1.a.3. PD Responsibilities</t>
  </si>
  <si>
    <t>Standard III.B.1.a.4. PD Responsibilities</t>
  </si>
  <si>
    <t>Standard III.B.1.b.1. PD Qualifications</t>
  </si>
  <si>
    <t>Standard III.B.1.b.2. PD Qualifications</t>
  </si>
  <si>
    <t>Standard III.B.1.b.3. PD Qualifications</t>
  </si>
  <si>
    <t>Standard III.B.1.b.4. PD Qualifications</t>
  </si>
  <si>
    <t>Standard III.B.1.b.5. PD Qualifications</t>
  </si>
  <si>
    <t>Standard III.B.2.a.1. MD Responsibilities</t>
  </si>
  <si>
    <t>Standard III.B.2.a.2. MD Responsibilities</t>
  </si>
  <si>
    <t>Standard III.B.2.a.3. MD Responsibilities</t>
  </si>
  <si>
    <t>Standard III.B.2.a.4. MD Responsibilities</t>
  </si>
  <si>
    <t>Standard III.B.2.a.5. MD Responsibilities</t>
  </si>
  <si>
    <t>Standard III.B.2.a.6. MD Responsibilities</t>
  </si>
  <si>
    <t>Standard III.B.2.a.7. MD Responsibilities</t>
  </si>
  <si>
    <t>Standard III.B.2.b.1. MD Qualifications</t>
  </si>
  <si>
    <t>Standard III.B.2.b.2. MD Qualifications</t>
  </si>
  <si>
    <t>Standard III.B.2.b.3. MD Qualifications</t>
  </si>
  <si>
    <t>Standard III.B.2.b.4. MD Qualifications</t>
  </si>
  <si>
    <t>Standard III.B.3.a.1. Associate MD Responsibilities</t>
  </si>
  <si>
    <t>Standard III.B.3.b.1. Associate MD Qualifications</t>
  </si>
  <si>
    <t>Standard III.B.3.b.2. Associate MD Qualifications</t>
  </si>
  <si>
    <t>Standard III.B.3.b.3. Associate MD Qualifications</t>
  </si>
  <si>
    <t>Standard III.B.4.a.1. Assistant MD Responsibilities</t>
  </si>
  <si>
    <t>Standard III.B.4.b.1. Assistant MD Qualifications</t>
  </si>
  <si>
    <t>Standard III.B.4.b.2. Assistant MD Qualifications</t>
  </si>
  <si>
    <t>Standard III.B.4.b.3. Assistant MD Qualifications</t>
  </si>
  <si>
    <t>Standard III.B.6.b.1. Lead Instructor Qualifications</t>
  </si>
  <si>
    <t>Standard III.B.6.b.2. Lead Instructor Qualifications</t>
  </si>
  <si>
    <t>Standard III.B.6.b.3. Lead Instructor Qualifications</t>
  </si>
  <si>
    <t>Standard III.B.6.b.4. Lead Instructor Qualifications</t>
  </si>
  <si>
    <t>Standard III.B.6.b.5. Lead Instructor Qualifications</t>
  </si>
  <si>
    <t>Standard IV.A.2.a. Stud Eval - Documentation</t>
  </si>
  <si>
    <t>Standard IV.A.2.b. Stud Eval - Documentation</t>
  </si>
  <si>
    <t>Standard V.A.1. Publications &amp; Disclosure</t>
  </si>
  <si>
    <t>Standard V.A.2. Publications &amp; Disclosure</t>
  </si>
  <si>
    <t>Standard V.A.3. Publications &amp; Disclosure</t>
  </si>
  <si>
    <t>Standard V.A.4. Publications &amp; Disclosure</t>
  </si>
  <si>
    <t>Bill Young, EdD, NRP</t>
  </si>
  <si>
    <t>Michael Miller, EdD, MS, BSEMS, RN</t>
  </si>
  <si>
    <t>Assistant MD(s)</t>
  </si>
  <si>
    <t>STANDARD III: PERSONNEL</t>
  </si>
  <si>
    <t>Sponsor Type</t>
  </si>
  <si>
    <t>Ambulance Services</t>
  </si>
  <si>
    <t>Community College</t>
  </si>
  <si>
    <t>Consortium</t>
  </si>
  <si>
    <t>Fire Services</t>
  </si>
  <si>
    <t>Hospital Based</t>
  </si>
  <si>
    <t>Junior College</t>
  </si>
  <si>
    <t>Military</t>
  </si>
  <si>
    <t>Technical College</t>
  </si>
  <si>
    <t>University</t>
  </si>
  <si>
    <t>Vocational School</t>
  </si>
  <si>
    <t>Sponsor Status</t>
  </si>
  <si>
    <t>Federal Government</t>
  </si>
  <si>
    <t>State OEMS Approval</t>
  </si>
  <si>
    <t>Sponsor Award College Credit</t>
  </si>
  <si>
    <t>Articulation Agreement(s)</t>
  </si>
  <si>
    <t>CoAEMSP Personnel Verification</t>
  </si>
  <si>
    <t>Complete</t>
  </si>
  <si>
    <t>Answer
/Evidence Provided</t>
  </si>
  <si>
    <t>County/
Municipality</t>
  </si>
  <si>
    <t>State, Cty, or Local Gov't</t>
  </si>
  <si>
    <t>Private - 
For Profit</t>
  </si>
  <si>
    <t>Private - 
Not For Profit</t>
  </si>
  <si>
    <t>Public - 
Not For Profit</t>
  </si>
  <si>
    <t>Type of Completion Award(s)</t>
  </si>
  <si>
    <t>AS Degree</t>
  </si>
  <si>
    <t>BS Degree</t>
  </si>
  <si>
    <t>MS Degree</t>
  </si>
  <si>
    <t>Cert/Diploma</t>
  </si>
  <si>
    <t>AS &amp; BS</t>
  </si>
  <si>
    <t>AS, BS, &amp; MS</t>
  </si>
  <si>
    <t>BS &amp; MS</t>
  </si>
  <si>
    <t>Cert/Diploma 
&amp; AS</t>
  </si>
  <si>
    <t>Cert/Diploma 
&amp; BS</t>
  </si>
  <si>
    <t>Cert/Diploma 
&amp; MS</t>
  </si>
  <si>
    <t>Cert/Diploma, 
AS, &amp; BS</t>
  </si>
  <si>
    <t>Cert/Diploma, 
AS, BS, &amp; MS</t>
  </si>
  <si>
    <t>ACAOM</t>
  </si>
  <si>
    <t>ABHES</t>
  </si>
  <si>
    <t>ACCJC</t>
  </si>
  <si>
    <t>ACCSC</t>
  </si>
  <si>
    <t>ACICS</t>
  </si>
  <si>
    <t>ACGME</t>
  </si>
  <si>
    <t>AHC-USA-NIAHO</t>
  </si>
  <si>
    <t>CAAS</t>
  </si>
  <si>
    <t>COE</t>
  </si>
  <si>
    <t>DEAC</t>
  </si>
  <si>
    <t>HFAP</t>
  </si>
  <si>
    <t>HLC</t>
  </si>
  <si>
    <t>MIEMSS</t>
  </si>
  <si>
    <t>MSCHE</t>
  </si>
  <si>
    <t>MSACS</t>
  </si>
  <si>
    <t>NEASC</t>
  </si>
  <si>
    <t>NCA</t>
  </si>
  <si>
    <t>NWCCU</t>
  </si>
  <si>
    <t>OK Board</t>
  </si>
  <si>
    <t>SACS</t>
  </si>
  <si>
    <t>State - OEMS</t>
  </si>
  <si>
    <t>Joint 
Commission</t>
  </si>
  <si>
    <t>WASC</t>
  </si>
  <si>
    <t>WSCUSC</t>
  </si>
  <si>
    <t>DNV 
Healthcare</t>
  </si>
  <si>
    <t>Reader Returned</t>
  </si>
  <si>
    <t>Exec Dir Returned</t>
  </si>
  <si>
    <t>Staff Sent to Program</t>
  </si>
  <si>
    <t xml:space="preserve">   Inst. Accreditation Cycle       (i.e., year to year)                </t>
  </si>
  <si>
    <t>CAAHEP Sponsorship Category
(according to Standard IA)</t>
  </si>
  <si>
    <t>Forwarded to Program Director:</t>
  </si>
  <si>
    <t xml:space="preserve">PD Approved </t>
  </si>
  <si>
    <t>MD Approved</t>
  </si>
  <si>
    <t xml:space="preserve">LI(s) Approved </t>
  </si>
  <si>
    <t>Associate MD(s) Approved</t>
  </si>
  <si>
    <t>Assistant MD(s) Approved [out of state]</t>
  </si>
  <si>
    <t>Pending</t>
  </si>
  <si>
    <t>Faculty  (Full time)</t>
  </si>
  <si>
    <t>PD Curriculum Vitae</t>
  </si>
  <si>
    <t>MD Curriculum Vitae</t>
  </si>
  <si>
    <r>
      <t xml:space="preserve">      </t>
    </r>
    <r>
      <rPr>
        <sz val="11"/>
        <rFont val="Arial"/>
        <family val="2"/>
        <scheme val="minor"/>
      </rPr>
      <t>Responsibilities Form</t>
    </r>
  </si>
  <si>
    <r>
      <t xml:space="preserve">        </t>
    </r>
    <r>
      <rPr>
        <sz val="11"/>
        <rFont val="Arial"/>
        <family val="2"/>
        <scheme val="minor"/>
      </rPr>
      <t>Responsibilities Form</t>
    </r>
  </si>
  <si>
    <t xml:space="preserve">Medical Director (MD)         </t>
  </si>
  <si>
    <t xml:space="preserve">        Curriculum Vitae(s)</t>
  </si>
  <si>
    <t>Full Time Faculty Table</t>
  </si>
  <si>
    <t>Part Time Faculty Table</t>
  </si>
  <si>
    <t>Additional Reader/Executive Director Comment (if any)</t>
  </si>
  <si>
    <t xml:space="preserve">   Total # of Credits/Contact Hours Required </t>
  </si>
  <si>
    <t xml:space="preserve">   Overall Length of Program (in months)</t>
  </si>
  <si>
    <t xml:space="preserve">   Maximum Class Size</t>
  </si>
  <si>
    <t>Brief History and Development</t>
  </si>
  <si>
    <t>Title Page Information</t>
  </si>
  <si>
    <t>Both Release Boxes Answered</t>
  </si>
  <si>
    <t>Job Descriptions</t>
  </si>
  <si>
    <t xml:space="preserve">      Workload Table</t>
  </si>
  <si>
    <t>Baxter Larmon, PhD, MICP</t>
  </si>
  <si>
    <t>Cissy Matthews, EdD, MS, MHSM, NREMTP</t>
  </si>
  <si>
    <t>Jeff McDonald, Med, NRP</t>
  </si>
  <si>
    <t>Walt Stoy, PhD, EMTP</t>
  </si>
  <si>
    <t xml:space="preserve">Reader Review Reminders: 
</t>
  </si>
  <si>
    <t>* A copy of this completed form is sent to the program and used as basis for follow-up communication.</t>
  </si>
  <si>
    <t>* Row heights should auto adjust; however, if they do not then the row height can be adjusted to show
   all text by "pulling" the row down.</t>
  </si>
  <si>
    <t>* Review the avaliable selections and their meaning by hovering over the Answer/Evidence Provided 
   column title and Additional Reader/Executive Director Comment (if any) column title below.</t>
  </si>
  <si>
    <t xml:space="preserve">   Number of Cohorts each Calendar Year</t>
  </si>
  <si>
    <t xml:space="preserve">Verified by CoAEMSP          </t>
  </si>
  <si>
    <t>Sufficient number</t>
  </si>
  <si>
    <t xml:space="preserve">Verified by CoAEMSP     </t>
  </si>
  <si>
    <t>Completed Program Course Requirements Table</t>
  </si>
  <si>
    <t>Capstone field internship provides opportunity to serve as team leader in a variety of ALS situations</t>
  </si>
  <si>
    <t>Out-of-state EMS office notification(s)</t>
  </si>
  <si>
    <t>Sets and requires minimum numbers of patient/skill contacts for each of the required patients and conditions listed and at least annually evaluates and documents that the established program minimums are sufficient to achieve entry-level competency</t>
  </si>
  <si>
    <t>Resubmit</t>
  </si>
  <si>
    <t>Standard IV.B.2. Outcomes Reporting</t>
  </si>
  <si>
    <t>Satellite Locations</t>
  </si>
  <si>
    <t>George W. Hatch Jr., EdD, LP, EMT-P</t>
  </si>
  <si>
    <t>Complete the “Reader” information below, then email the completed form to:</t>
  </si>
  <si>
    <t xml:space="preserve">lisa@coaemsp.org </t>
  </si>
  <si>
    <t>Executive Analysis of Letter of Review (LoR) Application</t>
  </si>
  <si>
    <t>LoR Application</t>
  </si>
  <si>
    <t>LoR Application TABS</t>
  </si>
  <si>
    <t>LSSR</t>
  </si>
  <si>
    <t>Items 1 thru 13</t>
  </si>
  <si>
    <t>~ Please Select ~</t>
  </si>
  <si>
    <t>Addition of a distance learning program</t>
  </si>
  <si>
    <t>Changes in sponsorship since submission of self-study report</t>
  </si>
  <si>
    <t>NECHE</t>
  </si>
  <si>
    <t xml:space="preserve">Verified by conversation          </t>
  </si>
  <si>
    <t xml:space="preserve">Verified by conversation    </t>
  </si>
  <si>
    <t xml:space="preserve">Verified by conversation      </t>
  </si>
  <si>
    <t xml:space="preserve">Verified by conversation   </t>
  </si>
  <si>
    <t>© 2022 by the Committee on Accreditation of Educational Program for the Emergency Medical Services Professions, Inc., Rowlett, TX. 
CAAHEP accredited and CoAEMSP approved LOR programs may use for program educational purposes. 
All other uses prohibited without express written permission.</t>
  </si>
  <si>
    <t xml:space="preserve">   Preliminary Site Visit</t>
  </si>
  <si>
    <r>
      <rPr>
        <i/>
        <sz val="12"/>
        <color theme="1"/>
        <rFont val="Arial"/>
        <family val="2"/>
        <scheme val="minor"/>
      </rPr>
      <t>"Good morning. We/I represent the Committee on Accreditation of Educational Programs for the EMS Professions (CoAEMSP), which operates under the auspices of the Commission on Accreditation of Allied Health Education Programs (CAAHEP). CAAHEP is the accreditor. We are here to gather information through observation, interview, and review of documentation to verify, clarify, and amplify the contents of the self-study report prepared by the program. We will objectively report our findings to the CoAEMSP relative to the CAAHEP Standards and Guidelines for the Accreditation of Educational Programs in the Emergency Medical Services Professions.  In addition, we are a consultative and facilitative team for the accreditation process.
As site visitors for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While the Family Educational Rights and Privacy Act (FERPA) generally requires written permission from the parent or eligible student in order to release any information from a student's education record, FERPA allows disclosure without consent to accrediting organizations carrying out their accrediting function (34 CFR § 99.31). 
To ensure the confidentiality of the site visit, the CoAEMSP prohibits the use of audio or video recording/monitoring of any portion of the evaluation including interviews with students and staff, team meetings, deliberations, or the closing summation except for the purposes of security. The CoAEMSP reserves the right to take disciplinary action against sponsoring institutions/programs whose representatives knowingly violate this policy, including cancellation of a site visit scheduled or in progress, or withhold of the CoAEMSP Letter of Review.
We will share our findings with you at the end of this review visit during the Closing Summation."</t>
    </r>
    <r>
      <rPr>
        <sz val="12"/>
        <color theme="1"/>
        <rFont val="Arial"/>
        <family val="2"/>
        <scheme val="minor"/>
      </rPr>
      <t xml:space="preserve">
</t>
    </r>
  </si>
  <si>
    <t>* Introductions of everyone and their role (not just the site visitors).
* Say a word about the Self-Study Report (thorough, helpful, clear, informative, interesting, etc.), if appropriate.
* Explain you are representing the CoAEMSP.
* Explain your purpose is to obtain info for the CoAEMSP by talking with different groups of people and looking at records, etc. and to provide 
   feedback to the program.
* Evaluation of the program is against the CAAHEP Standards; we would like to be a helpful consult to them.
* Explain you will collect information, draft the Site Visit Report, and present the site visit team’s findings during the Closing Summation at the 
   end of the site visit.
* This site visit is part of a CoAEMSP letter of review process, which begins with writing a Self-Study Report; other steps include an Executive 
   Analysis and Site Visit. 
* Possible next steps: The authority to issue the LoR is delegated to the Executive Director, subject to approval by the Chair of the CoAEMSP 
   Board of Directors. Allow two weeks for the formal notification.</t>
  </si>
  <si>
    <t xml:space="preserve">     - If it is determined the program is in substantial compliance with the CAAHEP Standards, the LoR will be issued. 
     -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t>
  </si>
  <si>
    <t>* For the Dean or Leadership, ask a question to verify what the self-study report states.</t>
  </si>
  <si>
    <t xml:space="preserve">      - I understand from the self-study report that you are accredited by [insert institutional accreditor] and are due for reaffirmation [insert 
        date], is that correct? (or something similar that verifies what the self-study report has said.)
      - It appears from the self-study report that the program has some challenges with [insert example(s)] (e.g., enrollment challenges, 
        inadequate faculty, lacking adequate resources or insufficient budget). Is that something that you feel can be managed and is being 
        addressed? Or something similar. If the challenge is medical direction and the medical director is present, this would best be explored 
        during the interview with the medical director.</t>
  </si>
  <si>
    <t>Script for Opening General Session
[Please read the opening script at the beginning of the site visit]</t>
  </si>
  <si>
    <t>Script for Closing General Session
[Please read the Closing Summation following your thank you for the hospitality and consideration shown to the site visit team]</t>
  </si>
  <si>
    <r>
      <rPr>
        <i/>
        <sz val="12"/>
        <color theme="1"/>
        <rFont val="Arial"/>
        <family val="2"/>
        <scheme val="minor"/>
      </rPr>
      <t xml:space="preserve">"As site visitors for the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Based on the information gathered during this site visit, we have identified the following program strengths:
</t>
    </r>
    <r>
      <rPr>
        <i/>
        <sz val="12"/>
        <color rgb="FF0070C0"/>
        <rFont val="Arial"/>
        <family val="2"/>
        <scheme val="minor"/>
      </rPr>
      <t>[Read/summarize the Strengths listed.]</t>
    </r>
    <r>
      <rPr>
        <i/>
        <sz val="12"/>
        <color theme="1"/>
        <rFont val="Arial"/>
        <family val="2"/>
        <scheme val="minor"/>
      </rPr>
      <t xml:space="preserve">
Based on the information gathered during this site visit, we have identified the following areas not meeting the standard:
</t>
    </r>
    <r>
      <rPr>
        <i/>
        <sz val="12"/>
        <color rgb="FF0070C0"/>
        <rFont val="Arial"/>
        <family val="2"/>
        <scheme val="minor"/>
      </rPr>
      <t>[State the Standard and the Rationale for each of the program’s areas of non-compliance.]</t>
    </r>
    <r>
      <rPr>
        <i/>
        <sz val="12"/>
        <color theme="1"/>
        <rFont val="Arial"/>
        <family val="2"/>
        <scheme val="minor"/>
      </rPr>
      <t xml:space="preserve">
We have noted the following suggestions for enhancement:
</t>
    </r>
    <r>
      <rPr>
        <i/>
        <sz val="12"/>
        <color rgb="FF0070C0"/>
        <rFont val="Arial"/>
        <family val="2"/>
        <scheme val="minor"/>
      </rPr>
      <t xml:space="preserve">[Read/summarize the Suggestions for Enhancement listed.] </t>
    </r>
    <r>
      <rPr>
        <i/>
        <sz val="12"/>
        <color theme="1"/>
        <rFont val="Arial"/>
        <family val="2"/>
        <scheme val="minor"/>
      </rPr>
      <t xml:space="preserve">
I will submit the Site Visit Report to the CoAEMSP within five working days. The authority to issue the LoR is delegated to the Executive Director, subject to approval by the Chair of the CoAEMSP Board of Directors. 
      a. If it is determined the program is in substantial compliance with the CAAHEP Standards, the LoR will be issued. 
      b.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
Do you have any questions regarding the process?"</t>
    </r>
  </si>
  <si>
    <t xml:space="preserve">Talking points to cover (opening session): </t>
  </si>
  <si>
    <t xml:space="preserve">Talking points to cover (closing summation): </t>
  </si>
  <si>
    <t>* Thank program for hospitality, openness to the thorough evaluation and to your suggestions, etc., if appropriate. Usually, it is!
* Briefly review the process and tell them where we are: giving the unofficial report. Explain the unofficial Site Visit Report will be sent to the 
   CoAEMSP within the next week.
* Read the closing statement on the Site Visit Report
* Give the unofficial report—both strengths (and elaborate, this is the time for the program personnel to be complimented, if appropriate) and 
   potential citations. If there are specific statements that are particularly complimentary from students or others, pass that on. Hopefully you 
   will have had time previously to go over the potential citations thoroughly with Program Director and show them the Standard and discuss 
   methods of correcting. If you have done that then you won’t need to go over all that in the group meeting.
* If there are numerous citations, you can mention that some of them are fairly simple to correct while others may take more time to address.
* Also present the other recommendations briefly and explain if needed.</t>
  </si>
  <si>
    <t>John C. Cook, EdD, MBA, NRP</t>
  </si>
  <si>
    <t>Evidence that Advisory Committee reviews program goals and required minimum patient contacts</t>
  </si>
  <si>
    <t>Based on the current National EMS Education Standards</t>
  </si>
  <si>
    <t>Local enhancements as appropriate</t>
  </si>
  <si>
    <t>Adequate size &amp; number for enrolled 
students</t>
  </si>
  <si>
    <t xml:space="preserve">Adequate facilities to support students </t>
  </si>
  <si>
    <t>Adequate number and variety to meet 
experience requirements</t>
  </si>
  <si>
    <t>Adequate quantity, quality, &amp; type</t>
  </si>
  <si>
    <t>Adequate access to internet &amp; LMS</t>
  </si>
  <si>
    <t xml:space="preserve">Adequate technology resources when using distance education methodologies </t>
  </si>
  <si>
    <t>Reviewed student texts and resources</t>
  </si>
  <si>
    <t>Sponsor support for participation in professional development</t>
  </si>
  <si>
    <t>Clinical, field experience, and capstone field internship sites demonstrate adequate volume</t>
  </si>
  <si>
    <t>Program Director 
(on file with CoAEMSP)</t>
  </si>
  <si>
    <t>Medical Director
(on file with CoAEMSP)</t>
  </si>
  <si>
    <t>Faculty (full or part-time)</t>
  </si>
  <si>
    <t>Confirmed adequate time allotted to each aspect of the program</t>
  </si>
  <si>
    <t>Evidence that Program Director is responsible for: 
  • Course scheduling
  • Teaching assignments
  • Evaluations
  • Testing
  • Curriculum review &amp; revision
  • Evaluation of faculty &amp; instructors</t>
  </si>
  <si>
    <t>Review of schedules for assignments and teaching load</t>
  </si>
  <si>
    <t>Verified by conversation with personnel</t>
  </si>
  <si>
    <t>Documentation of compliance with the latest National EMS Education Standards</t>
  </si>
  <si>
    <t>Completed Student Minimum Competency (SMC) document</t>
  </si>
  <si>
    <t>Conversation with employers</t>
  </si>
  <si>
    <t>Conversation with students &amp; graduates, if applicable, regarding team  lead opportunities</t>
  </si>
  <si>
    <t>Resource assessment surveys administered to all students and personnel at least annually</t>
  </si>
  <si>
    <t>Evidence of action taken</t>
  </si>
  <si>
    <t>Advisory Committee meeting minutes or other evidence</t>
  </si>
  <si>
    <t>Evidence of the summative evaluation at the end of the course including cognitive, psychomotor, and affective evaluations</t>
  </si>
  <si>
    <t xml:space="preserve">Reviewed process for grading and remediation           </t>
  </si>
  <si>
    <t>Note:  All of  V.A.2. and V.A.3. items may appear in one or more of the following documents</t>
  </si>
  <si>
    <t xml:space="preserve">Reviewed student handbook  </t>
  </si>
  <si>
    <t>Reviewed catalog</t>
  </si>
  <si>
    <t>Reviewed faculty handbook</t>
  </si>
  <si>
    <t xml:space="preserve">Conversations with paid faculty </t>
  </si>
  <si>
    <t>Written faculty grievance policy</t>
  </si>
  <si>
    <t>Reviewed grading documentation or other records</t>
  </si>
  <si>
    <t>Addition of satellite location(s)
Addition of alternate location(s)</t>
  </si>
  <si>
    <t>Changes in location since submission of self-study report</t>
  </si>
  <si>
    <t xml:space="preserve">Reviewed that all agreements are current with appropriate signatures     </t>
  </si>
  <si>
    <t xml:space="preserve">        Standard I. 
      Sponsorship</t>
  </si>
  <si>
    <t>Reviewed course syllabi which include the following elements:
  • course description
  • description of prerequisites or preparatory work
  • course objectives
  • methods of evaluation
  • topic outline (as applicable)</t>
  </si>
  <si>
    <r>
      <rPr>
        <b/>
        <sz val="14"/>
        <color theme="1"/>
        <rFont val="Arial"/>
        <family val="2"/>
      </rPr>
      <t xml:space="preserve">    d. Resource Assessment</t>
    </r>
    <r>
      <rPr>
        <b/>
        <sz val="11"/>
        <color theme="1"/>
        <rFont val="Arial"/>
        <family val="2"/>
      </rPr>
      <t xml:space="preserve">   </t>
    </r>
  </si>
  <si>
    <t xml:space="preserve">Name </t>
  </si>
  <si>
    <r>
      <t xml:space="preserve">Ensure provisions of </t>
    </r>
    <r>
      <rPr>
        <i/>
        <sz val="11"/>
        <color rgb="FF000000"/>
        <rFont val="Arial"/>
        <family val="2"/>
        <scheme val="minor"/>
      </rPr>
      <t>Standards</t>
    </r>
    <r>
      <rPr>
        <sz val="11"/>
        <color rgb="FF000000"/>
        <rFont val="Arial"/>
        <family val="2"/>
        <scheme val="minor"/>
      </rPr>
      <t xml:space="preserve"> are met.</t>
    </r>
  </si>
  <si>
    <r>
      <t xml:space="preserve">a. Responsibilities
</t>
    </r>
    <r>
      <rPr>
        <b/>
        <sz val="11"/>
        <color theme="1"/>
        <rFont val="Arial"/>
        <family val="2"/>
      </rPr>
      <t>The Medical Director must be responsible for medical oversight of the program, and must:</t>
    </r>
  </si>
  <si>
    <r>
      <rPr>
        <b/>
        <sz val="11"/>
        <color rgb="FF000000"/>
        <rFont val="Arial"/>
        <family val="2"/>
      </rPr>
      <t>Make known to students:</t>
    </r>
    <r>
      <rPr>
        <sz val="11"/>
        <color rgb="FF000000"/>
        <rFont val="Arial"/>
        <family val="2"/>
      </rPr>
      <t xml:space="preserve">
          Academic calendar</t>
    </r>
  </si>
  <si>
    <r>
      <rPr>
        <b/>
        <sz val="11"/>
        <color rgb="FF000000"/>
        <rFont val="Arial"/>
        <family val="2"/>
      </rPr>
      <t>Satisfactory records must be maintained for:</t>
    </r>
    <r>
      <rPr>
        <sz val="11"/>
        <color rgb="FF000000"/>
        <rFont val="Arial"/>
        <family val="2"/>
      </rPr>
      <t xml:space="preserve">
          Student admission</t>
    </r>
  </si>
  <si>
    <t>Please Note:  When the site visitors' names do not appear below, the 'Cover Page' worksheet has not been completed.
Please complete the 'Cover Page'.</t>
  </si>
  <si>
    <t>List the STRENGTHS of the Program</t>
  </si>
  <si>
    <r>
      <rPr>
        <b/>
        <i/>
        <sz val="12"/>
        <color rgb="FF000000"/>
        <rFont val="Arial"/>
        <family val="2"/>
      </rPr>
      <t>Standard</t>
    </r>
    <r>
      <rPr>
        <b/>
        <sz val="12"/>
        <color rgb="FF000000"/>
        <rFont val="Arial"/>
        <family val="2"/>
      </rPr>
      <t xml:space="preserve"> Reference</t>
    </r>
  </si>
  <si>
    <t>Type of Site Visit:</t>
  </si>
  <si>
    <t xml:space="preserve">        Zoom Tech Host:</t>
  </si>
  <si>
    <t>SV Observer:</t>
  </si>
  <si>
    <t>Type of SV Observer:</t>
  </si>
  <si>
    <t>Site Visit Dates:</t>
  </si>
  <si>
    <t>Jennifer
Anderson Warwick</t>
  </si>
  <si>
    <r>
      <t xml:space="preserve">2023 CAAHEP </t>
    </r>
    <r>
      <rPr>
        <b/>
        <i/>
        <sz val="24"/>
        <color theme="0"/>
        <rFont val="Arial"/>
        <family val="2"/>
      </rPr>
      <t>Standards &amp; Guidelines</t>
    </r>
  </si>
  <si>
    <r>
      <t xml:space="preserve">2023 CAAHEP </t>
    </r>
    <r>
      <rPr>
        <b/>
        <i/>
        <sz val="20"/>
        <color theme="0"/>
        <rFont val="Arial"/>
        <family val="2"/>
      </rPr>
      <t>Standards &amp; Guidelines</t>
    </r>
  </si>
  <si>
    <t xml:space="preserve"> Standard V.       
Fair Practices</t>
  </si>
  <si>
    <t>A. Program Sponsor</t>
  </si>
  <si>
    <t>Standard I.A.5 Consortium Program Sponsor</t>
  </si>
  <si>
    <t>I.A.4-Branch of US Armed Forces</t>
  </si>
  <si>
    <t>I.A.5 -Consortium-w/(I.A) College</t>
  </si>
  <si>
    <t>I.A.3-Hospital,  Clinic or Medical Center</t>
  </si>
  <si>
    <t>I.A.2-Post-secondary outside U.S.</t>
  </si>
  <si>
    <t>I.A.5-Consortium-w/(I.A) Hospital</t>
  </si>
  <si>
    <t>I.A.5-Consortium-w/(I.A) Government</t>
  </si>
  <si>
    <t>B. Responsibilities of Program Sponsor</t>
  </si>
  <si>
    <t>I.B.1</t>
  </si>
  <si>
    <t>I.B.2</t>
  </si>
  <si>
    <t>I.B.3</t>
  </si>
  <si>
    <t>Awards academic credit for the program or has an articulation agreement with an accredited post-secondary institution.</t>
  </si>
  <si>
    <t>A. Program Goals and Minimum Expectations</t>
  </si>
  <si>
    <t>Program Level:</t>
  </si>
  <si>
    <t>B. Program Advisory Committee</t>
  </si>
  <si>
    <t>Standard II.B. Program Advisory Committee</t>
  </si>
  <si>
    <t>Standard III.A.1. Resources - Type and Amount</t>
  </si>
  <si>
    <t>Faculty and staff workspace</t>
  </si>
  <si>
    <t>Information technology</t>
  </si>
  <si>
    <t>Supplies</t>
  </si>
  <si>
    <t>Equipment</t>
  </si>
  <si>
    <t>Classroom and laboratory (physical or virtual)</t>
  </si>
  <si>
    <t>Space for confidential interactions</t>
  </si>
  <si>
    <t>Number of approved same state locations according to the EA:</t>
  </si>
  <si>
    <t>Number of approved out-of-state locations as according to the EA:</t>
  </si>
  <si>
    <t>Standard III.A.2. Clinical, Field Experience, and Capstone Field Internship Affiliates</t>
  </si>
  <si>
    <t xml:space="preserve">7. Clinical Coordinator </t>
  </si>
  <si>
    <t xml:space="preserve">         Does the program utilize the clinical coordinator position?</t>
  </si>
  <si>
    <t>III.C.5.</t>
  </si>
  <si>
    <t>III.C.4.</t>
  </si>
  <si>
    <t xml:space="preserve">    1.  Assessment</t>
  </si>
  <si>
    <t xml:space="preserve">    2. Reporting</t>
  </si>
  <si>
    <t>Announcements, catalogs, publications, advertising, and website accurately reflect the program offered.</t>
  </si>
  <si>
    <r>
      <rPr>
        <b/>
        <sz val="11"/>
        <color rgb="FF000000"/>
        <rFont val="Arial"/>
        <family val="2"/>
      </rPr>
      <t>Make known to applicants and students:</t>
    </r>
    <r>
      <rPr>
        <sz val="11"/>
        <color rgb="FF000000"/>
        <rFont val="Arial"/>
        <family val="2"/>
      </rPr>
      <t xml:space="preserve">
          Sponsor's accreditation status 
          (institutional &amp; programmatic)</t>
    </r>
  </si>
  <si>
    <t xml:space="preserve">          Name and website address of CAAHEP</t>
  </si>
  <si>
    <t xml:space="preserve">          Occupational risks</t>
  </si>
  <si>
    <t xml:space="preserve">          Tuition / fees and other costs required
          to complete the program</t>
  </si>
  <si>
    <t xml:space="preserve">          Policies &amp; process for assignment 
          of clinical experiences</t>
  </si>
  <si>
    <t xml:space="preserve">          Appeals process</t>
  </si>
  <si>
    <t xml:space="preserve">Faculty workspace </t>
  </si>
  <si>
    <t>Assistant Medical Director(s) 
(Only for out-of-state sites)</t>
  </si>
  <si>
    <t>Documented education or experience in instructional methodology</t>
  </si>
  <si>
    <t>Academic training and experience equivalent to that of a paramedic</t>
  </si>
  <si>
    <t>Review progress of each student throughout the program and assist in the determination of appropriate corrective measures</t>
  </si>
  <si>
    <t>Experience in the delivery of prehospital emergency care</t>
  </si>
  <si>
    <t>Knowledgeable about the current versions: National EMS Scope of Practice and National EMS Education Standards, and about evidence-informed clinical practice</t>
  </si>
  <si>
    <t>Review and approval of the educational content of the program to include didactic, laboratory, clinical experience, field experience, and capstone field internship to ensure it meets current standards of medical practice</t>
  </si>
  <si>
    <t>Review and approval of the instruments and processes used to evaluate students in didactic, laboratory, clinical, field experience, and capstone field internship</t>
  </si>
  <si>
    <t>Knowledge about EMS education including professional, legislative, regulatory issues regarding the education of the Emergency Medical Services Professions</t>
  </si>
  <si>
    <t>III.B.2.b.5)</t>
  </si>
  <si>
    <t>Area for confidential interactions</t>
  </si>
  <si>
    <t>Academic oversight, including curriculum planning and development</t>
  </si>
  <si>
    <t>Conversation with faculty or program staff</t>
  </si>
  <si>
    <t>Orientation/training and supervision of clinical and capstone field internship preceptors</t>
  </si>
  <si>
    <t>Communication with Associate/Assistant Medical Director(s)</t>
  </si>
  <si>
    <t>Conversation with Program Director, Medical Director, and faculty</t>
  </si>
  <si>
    <t>Conversation with Advisory Committee and employers</t>
  </si>
  <si>
    <t>Standard III.B.7.a.1. Clinical Coordinator Responsibilities</t>
  </si>
  <si>
    <t>Standard III.B.7.a.2. Clinical Coordinator Responsibilities</t>
  </si>
  <si>
    <t>Standard III.B.7.a.3. Clinical Coordinator Responsibilities</t>
  </si>
  <si>
    <t>Standard III.B.7.a.4. Clinical Coordinator Responsibilities</t>
  </si>
  <si>
    <t>Standard III.B.7.b.1. Clinical Coordinator Qualifications</t>
  </si>
  <si>
    <t>Standard III.B.7.b.2. Clinical Coordinator Qualifications</t>
  </si>
  <si>
    <t>Standard III.B.7.b.3. Clinical Coordinator Qualifications</t>
  </si>
  <si>
    <t>Effective in teaching and knowledgeable in subject matter as documented by appropriate professional credential(s)/certification(s), education, and experience in the designated content area</t>
  </si>
  <si>
    <t>Knowledgeable in teaching the subjects assigned, when applicable</t>
  </si>
  <si>
    <t>Requisite knowledge and skills to advise the program leadership about the clinical/academic aspects of the program</t>
  </si>
  <si>
    <t>Adequate training or experience in the delivery of out-of-hospital emergency care, including the proper care and transport of patients, medical direction, and quality improvement in out-of-hospital care</t>
  </si>
  <si>
    <t>Currently licensed and authorized to practice in the state in which the program is located, and board certified or the equivalent</t>
  </si>
  <si>
    <t>Standard III.B.2.b.5. MD Qualifications</t>
  </si>
  <si>
    <t>Ensures effectiveness and quality of any Medical Director responsibilities delegated to an Associate or Assistant Medical Director</t>
  </si>
  <si>
    <t>Administration, organization, and supervision of the program
Continuous quality review and improvement of the educational program
Academic oversight, including curriculum planning and development</t>
  </si>
  <si>
    <t xml:space="preserve">Compatible with the mission of the sponsoring institution(s), the expectations of the communities of interest, and nationally accepted standards of roles and functions </t>
  </si>
  <si>
    <t>Based upon the substantiated needs of health care providers and employers, and the educational needs of the students served by the educational program.</t>
  </si>
  <si>
    <t>Preparedness plan in place that assures continuity of education services in the event of an unanticipated interruption.</t>
  </si>
  <si>
    <t>Communities of interest served by the program include, but are not limited to, students, graduates, faculty members, sponsor administrators, employers, physicians, clinical and capstone field internship representatives, and the public.</t>
  </si>
  <si>
    <t>The program advisory committee meets at least annually, advises the program regarding revisions to curriculum and program goals based on the changing needs and expectations of the program’s communities of interest, and an assessment of program effectiveness, including the outcomes.</t>
  </si>
  <si>
    <t>2. Clinical, Field Experience, and Capstone Field Internship Affiliations</t>
  </si>
  <si>
    <t>Students have access to adequate numbers of patients, proportionally distributed by age-range,  chief complaint and interventions in the delivery of emergency care appropriate to the level of the EMS Profession(s) for which training is being offered</t>
  </si>
  <si>
    <t>Clinical/field experience and capstone field internship resources ensure exposure to, and assess and manage the following patients and conditions: adult trauma and medical emergencies; pediatric trauma and medical emergencies; and geriatric trauma and medical emergencies</t>
  </si>
  <si>
    <t>Qualified individual(s) clearly designated by the program to provide instruction, supervision, and timely assessments of the student’s progress in meeting program requirements</t>
  </si>
  <si>
    <t>Standard III.B.1.a.1-3.)</t>
  </si>
  <si>
    <t>Standard III.B.1.a.4.)</t>
  </si>
  <si>
    <t xml:space="preserve">Qualifications verified by review of CVs/Resumes: </t>
  </si>
  <si>
    <t xml:space="preserve">
5. Examples listed in the evidence column are common ways that Standards may be demonstrated as 'Complete' (Met). Other " &amp;"mechanisms may be acceptable, and if present, describe in the Rationale/Comments column.","3. Check the evidence that was presented. (Not all evidence listed for a given Standard is required to consider it 'Met'.)" &amp;"
4. Provide a detailed rationale if a Standard is marked as SVT Review or FSV Item.  The team must state the reason(s) why that element of the Standard is not in compliance." &amp;"
5. Examples listed in the evidence column are common ways that Standards may be demonstrated as 'Complete' (Met). Other" &amp;" mechanisms may be acceptable, and if present, describe in the Rationale/Comments column.")</t>
  </si>
  <si>
    <t>Communicates with Program Director on a regular basis which may include:
  • Verified by conversation
  • Communication log
  • Email
  • Meeting notes</t>
  </si>
  <si>
    <t>List of current Advisory Committee members identifying at least one representative from each required group
Verify the public member qualifications/bio</t>
  </si>
  <si>
    <t>Administrative and support staff</t>
  </si>
  <si>
    <t>Conversation of operating &amp; capital budget</t>
  </si>
  <si>
    <t>Opportunity for professional development for staff (internal or external)</t>
  </si>
  <si>
    <t>Conversation with Medical Director</t>
  </si>
  <si>
    <t>Conversation with clinical and field internship preceptors</t>
  </si>
  <si>
    <t>Conversation with students and graduates, if applicable</t>
  </si>
  <si>
    <t>Conversation with Program Director, Medical Director, faculty, students and  graduates
Review of student documentation</t>
  </si>
  <si>
    <t>Conversation regarding program activities</t>
  </si>
  <si>
    <t>Program Sponsor:</t>
  </si>
  <si>
    <t>Team Member &amp; Credentials:</t>
  </si>
  <si>
    <t>Permanent storage for grades &amp; credits</t>
  </si>
  <si>
    <t>Reviewed a sample of components of student records</t>
  </si>
  <si>
    <t>Policy that students are always identified as students and not substituted for paid staff (i.e., are a student 3rd rider)</t>
  </si>
  <si>
    <t xml:space="preserve">Plan/policy to address injury and post exposure       </t>
  </si>
  <si>
    <t>Health &amp; safety of patients, students, faculty, &amp; other associated participants is sufficiently safeguarded</t>
  </si>
  <si>
    <t>Policy on the health and safety of all participants</t>
  </si>
  <si>
    <t>Student &amp; faculty recruitment, student admission, and faculty employment practices are non-discriminatory &amp; in accordance with federal &amp; state statutes, rules, and regulations</t>
  </si>
  <si>
    <t xml:space="preserve">          Policy on advanced placement 
          (program-specific)</t>
  </si>
  <si>
    <t xml:space="preserve">          Policy on transfer of credits (sponsor)</t>
  </si>
  <si>
    <t>Assessments include: national/state credentialing examination results, programmatic retention, placement, graduate satisfaction, employer satisfaction</t>
  </si>
  <si>
    <t>Reviewed summary tracking for the required minimum competencies (SMC)</t>
  </si>
  <si>
    <t>Standard III.C.5. Curriculum (team leads)</t>
  </si>
  <si>
    <t>Verified with preceptors</t>
  </si>
  <si>
    <t>Standard III.C.4. Curriculum (minimum numbers)</t>
  </si>
  <si>
    <t>Standard III.C.3. Curriculum (sequence)</t>
  </si>
  <si>
    <t>Standard III.C.1. Curriculum (syllabi)</t>
  </si>
  <si>
    <t>Standard III.C.2. Curriculum (sequence)</t>
  </si>
  <si>
    <t>Verified appropriate sequence that demonstrates progression of learning</t>
  </si>
  <si>
    <t>Standard III.A.1. Resources - Type and Amount 
[out-of-state satellite location(s)]</t>
  </si>
  <si>
    <t>Standard III.A.1. Resources - Type and Amount 
[not approved satellite location(s)]</t>
  </si>
  <si>
    <t>Standard III.A.1. Resources - Type and Amount
[out-of-state satellite location(s)]</t>
  </si>
  <si>
    <t>Standard III.A.1. Resources - Type and Amount
[not approved satellite location(s)]</t>
  </si>
  <si>
    <t>Standard III.A.2. Clinical, Field Experience, and Capstone Field Internship Affiliates
[same state satellite location(s)]</t>
  </si>
  <si>
    <t>Standard III.A.2. Clinical, Field Experience, and Capstone Field Internship Affiliates
[out-of-state satellite location(s)]</t>
  </si>
  <si>
    <t>Standard III.A.2. Clinical, Field Experience, and Capstone Field Internship Affiliates
[not approved satellite location(s)]</t>
  </si>
  <si>
    <t>Standard III.B.1.a.1-3. PD Responsibilities 
[same state satellite location(s)]</t>
  </si>
  <si>
    <t>Standard III.B.1.a.1-3. PD Responsibilities 
[out-of-state satellite location(s)]</t>
  </si>
  <si>
    <t>Standard III.B.1.a.1-3. PD Responsibilities 
[not approved satellite location(s)]</t>
  </si>
  <si>
    <t>Standard III.B.1.a.4. PD Responsibilities 
[same state satellite location(s)]</t>
  </si>
  <si>
    <t>Standard III.B.1.a.4. PD Responsibilities 
[out-of-state satellite location(s)]</t>
  </si>
  <si>
    <t>Standard III.B.1.a.4. PD Responsibilities 
[not approved satellite location(s)]</t>
  </si>
  <si>
    <t>Standard III.B.5.a. Faculty/Inst Staff Responsibilities 
[same state satellite location(s)]</t>
  </si>
  <si>
    <t>Standard III.B.5.a. Faculty/Inst Staff Responsibilities 
[out-of-state satellite location(s)]</t>
  </si>
  <si>
    <t>Standard III.B.5.a. Faculty/Inst Staff Responsibilities 
[not approved satellite location(s)]</t>
  </si>
  <si>
    <t>Standard III.C.1. Curriculum (syllabi) 
[same state satellite location(s)]</t>
  </si>
  <si>
    <t>Standard III.C.1. Curriculum (syllabi) 
[out-of-state satellite location(s)]</t>
  </si>
  <si>
    <t>Standard III.C.1. Curriculum (syllabi) 
[not approved satellite location(s)]</t>
  </si>
  <si>
    <t>Standard III.C.2. Curriculum (sequence) 
[same state satellite location(s)]</t>
  </si>
  <si>
    <t>Standard III.C.2. Curriculum (sequence) 
[out-of-state satellite location(s)]</t>
  </si>
  <si>
    <t>Standard III.C.2. Curriculum (sequence) 
[not approved satellite location(s)]</t>
  </si>
  <si>
    <t>Standard III.C.3. Curriculum (sequence)
[same state satellite location(s)]</t>
  </si>
  <si>
    <t>Standard III.C.3. Curriculum (Sequence) 
[out-of-state satellite location(s)]</t>
  </si>
  <si>
    <t>Standard III.C.3. Curriculum (Sequence) 
[not approved satellite location(s)]</t>
  </si>
  <si>
    <t>Standard III.C.4. Curriculum (Tracking) 
[same state satellite location(s)]</t>
  </si>
  <si>
    <t>Standard III.C.4. Curriculum (Tracking) 
[out-of-state satellite location(s)]</t>
  </si>
  <si>
    <t>Standard III.C.4. Curriculum (Tracking) 
[not approved satellite location(s)]</t>
  </si>
  <si>
    <t>Standard III.D. Resource Assessment 
[same state satellite location(s)]</t>
  </si>
  <si>
    <t>Standard III.D. Resource Assessment 
[out-of-state satellite location(s)]</t>
  </si>
  <si>
    <t>Standard III.D. Resource Assessment 
[not approved satellite location(s)]</t>
  </si>
  <si>
    <t>Standard IV.A.1. Stud Eval - Frequency &amp; Purpose 
[same state satellite location(s)]</t>
  </si>
  <si>
    <t>Standard IV.A.1. Stud Eval - Frequency &amp; Purpose 
[out-of-state satellite location(s)]</t>
  </si>
  <si>
    <t>Standard IV.A.1. Stud Eval - Frequency &amp; Purpose 
[not approved satellite location(s)]</t>
  </si>
  <si>
    <t>Standard V.A.1-3. Publications &amp; Disclosure 
[same state satellite location(s)]</t>
  </si>
  <si>
    <t>Standard V.A.1-3. Publications &amp; Disclosure 
[out-of-state satellite location(s)]</t>
  </si>
  <si>
    <t>Standard V.A.1-3. Publications &amp; Disclosure 
[not approved satellite location(s)]</t>
  </si>
  <si>
    <t>Standard V.D. Student Records 
[same state satellite location(s)]</t>
  </si>
  <si>
    <t>Standard V.D. Student Records 
[out-of-state satellite location(s)]</t>
  </si>
  <si>
    <t>Standard V.D. Student Records 
[not approved satellite location(s)]</t>
  </si>
  <si>
    <t>The site visit team attests the Executive Analysis (EA) has been reviewed</t>
  </si>
  <si>
    <t>Team Captain &amp; Credentials:</t>
  </si>
  <si>
    <t>Reviewed published minimum expectations statement in student handbook, webpage, or other program materials (must be verbatim).</t>
  </si>
  <si>
    <t>Optional additional goals beyond the II.A minimum expectation verbatim statement</t>
  </si>
  <si>
    <t>Employer survey results</t>
  </si>
  <si>
    <t>Orientation/training and supervision of clinical liaisons and capstone field internship preceptors</t>
  </si>
  <si>
    <t>A separate syllabus must clearly define the expectations and requirements for each course: didactic, laboratory, clinical, field experience, and capstone field internship.</t>
  </si>
  <si>
    <t>Meets or exceeds content &amp; competency of the latest edition of the National EMS Education Standards</t>
  </si>
  <si>
    <t>Resource Assessment Matrix (RAM) completed annually and reviewed with the Advisory Committee</t>
  </si>
  <si>
    <t xml:space="preserve">          Policy on credits for experiential learning
          (sponsor)</t>
  </si>
  <si>
    <t xml:space="preserve">          Number of credits required for completion 
          of the program if applicable</t>
  </si>
  <si>
    <t xml:space="preserve">          Policies &amp; processes for withdrawal &amp; 
          refund of tuition</t>
  </si>
  <si>
    <t>Conversation regarding permanent storage and transcripts</t>
  </si>
  <si>
    <t>Verified by conversation and review of MD Responsibilities form and supporting documentation</t>
  </si>
  <si>
    <t>Verified by the program Student Minimum Competency (SMC) requirements</t>
  </si>
  <si>
    <t>III.B.7.a.1)</t>
  </si>
  <si>
    <t>Coordinates clinical education</t>
  </si>
  <si>
    <t>Ensures documentation of the evaluation and progression of clinical performance</t>
  </si>
  <si>
    <t>III.B.7.a.2)</t>
  </si>
  <si>
    <t>III.B.7.a.3)</t>
  </si>
  <si>
    <t>III.B.7.a.4)</t>
  </si>
  <si>
    <t>Documented preparedness plan</t>
  </si>
  <si>
    <t>Documented evidence of a pathway for credit or an articulation agreement</t>
  </si>
  <si>
    <t>DNE</t>
  </si>
  <si>
    <t>Met</t>
  </si>
  <si>
    <t>Not Met</t>
  </si>
  <si>
    <t>The sponsor does not have an articulation agreement that provides a pathway for credit.  
or
The articulation agreement has expired.</t>
  </si>
  <si>
    <t xml:space="preserve">There is no preparedness plan for unanticipated events. </t>
  </si>
  <si>
    <t xml:space="preserve">The required minimum expectations statement (goal) is not published verbatim. 
or
The required minimum expectations statement (goal) is not published. </t>
  </si>
  <si>
    <t>The program has not implemented changes based on the expressed needs of the communities of interest.</t>
  </si>
  <si>
    <t xml:space="preserve">NOTE:  Administrative staff are not required. </t>
  </si>
  <si>
    <t xml:space="preserve">The program is not familiar with the 2021 National EMS Education Standards.  The program still refers to the US DOT National Standard Curriculum.  </t>
  </si>
  <si>
    <t>NOTE: A specific budget for the program is not required.</t>
  </si>
  <si>
    <t>NOTE:  Locations may have flexible space that can meet these needs.</t>
  </si>
  <si>
    <t xml:space="preserve">NOTE:  Locations may have flexible space that can meet these needs. </t>
  </si>
  <si>
    <t xml:space="preserve">Scheduling for clinical experiences is delayed due to the limited number of sites and schedule rotations available. </t>
  </si>
  <si>
    <t xml:space="preserve">Scheduling for field experience and capstone field internship is delayed due to the limited number of sites and schedule rotations available. </t>
  </si>
  <si>
    <t>Students do not have reliable access to the internet on campus.
or
Students do not have adequate technical assistance for distance learning activities.</t>
  </si>
  <si>
    <t>Ancillary student facilities</t>
  </si>
  <si>
    <t>Clinical affiliates</t>
  </si>
  <si>
    <t>Field experience and capstone field internship affiliates</t>
  </si>
  <si>
    <t>Support for faculty professional development</t>
  </si>
  <si>
    <t xml:space="preserve">NOTE:  Funding for conference attendance is not required. </t>
  </si>
  <si>
    <t>Are all responsibilities being accomplished?  If not, what is not occurring?</t>
  </si>
  <si>
    <t>The program director is not actively involved in oversight of the program and curriculum planning and development.</t>
  </si>
  <si>
    <t>The program director is not familiar with the 2021 National EMS Education Standards.</t>
  </si>
  <si>
    <t>There is no evidence that the medical director reviews and approves the educational content of the program.</t>
  </si>
  <si>
    <t>There is no evidence that the medical director reviews and approves the instruments and processes used to evaluate students.</t>
  </si>
  <si>
    <t>There is no evidence that the medical director reviews student progress and corrective actions.</t>
  </si>
  <si>
    <t>There is no evidence of signed and dated terminal competency forms.</t>
  </si>
  <si>
    <t xml:space="preserve">Students report that scheduling of clinical and/or field rotations is not timely.
or
Instructions for scheduling clinical and/or field rotations are not clear. </t>
  </si>
  <si>
    <t>Student documentation from clinical and/or field rotations is not reviewed on a regular basis with feedback provided to students.
or
Student progress towards meeting the required minimum competencies is not routinely monitored.</t>
  </si>
  <si>
    <t xml:space="preserve">The program course requirements table does not demonstrate or detail the progression of learning.
or
There is no evidence that the capstone field internship occurs after all core clinical content has been completed.
or
The capstone field internship occurs before all core clinical content has been completed. </t>
  </si>
  <si>
    <t>There is no evidence of a student minimum competency (SMC) document that specifies the program-required number of skills and patient encounters that is signed and dated by the medical director and that indicates when the SMC was reviewed with the Advisory Committee.</t>
  </si>
  <si>
    <t xml:space="preserve">Students and graduates report not being able to obtain the required patient encounters during the capstone field internship. </t>
  </si>
  <si>
    <t xml:space="preserve">There is no evidence that high-stakes exams are reviewed for validity and reliability.
or
Students do not have a mechanism to monitor progress toward achievement of competencies. 
or
There is no evidence that students are evaluated on skill mastery prior to entering clinical areas. </t>
  </si>
  <si>
    <t xml:space="preserve">Student records are missing the following documentation: [list the missing docs] </t>
  </si>
  <si>
    <t xml:space="preserve">NOTE:  Standard IV.B.1. refers to the Annual Report data and submissions. </t>
  </si>
  <si>
    <t xml:space="preserve">There is no evidence that graduate and employer surveys are distributed. </t>
  </si>
  <si>
    <t>NOTES:  Programs under initial accreditation review may not have three years of reporting data.</t>
  </si>
  <si>
    <t xml:space="preserve">[Reference the specific topic in V.A.2.] </t>
  </si>
  <si>
    <t>Published materials [do not identify or do not correctly identify] the following accreditor information: [institutional and/or CAAHEP and/or CoAEMSP].</t>
  </si>
  <si>
    <t>Admission policies are [incomplete or not published].</t>
  </si>
  <si>
    <t>Published materials do not include technical standards.</t>
  </si>
  <si>
    <t>Published materials do not include occupational risks.</t>
  </si>
  <si>
    <t>There is no evidence of a program-specific advanced placement policy.</t>
  </si>
  <si>
    <t>There is no evidence of a sponsor or program policy for transfer of credits into the program.</t>
  </si>
  <si>
    <t>There is no evidence of a sponsor or program policy for credit for experiential learning.</t>
  </si>
  <si>
    <t>Published materials do not include the total tuition and fees required to complete the program.</t>
  </si>
  <si>
    <t xml:space="preserve">Published materials do not include the policy and process for tuition refund on withdrawal. </t>
  </si>
  <si>
    <t>Published materials do not include a student grievance procedure.</t>
  </si>
  <si>
    <t xml:space="preserve">Published materials do not include an appeals process. </t>
  </si>
  <si>
    <t xml:space="preserve">Published materials do not include guidelines/policies for students regarding performing clinical work during the hospital and field internship experiences. </t>
  </si>
  <si>
    <t>The program outcomes are not posted on the program webpage.
or
The outcomes posted on the program webpage do not match the data in the Annual Report.</t>
  </si>
  <si>
    <t xml:space="preserve">Published materials do not address non-discriminatory practices and compliance with regulations. </t>
  </si>
  <si>
    <t>There is no evidence of a published faculty grievance policy.</t>
  </si>
  <si>
    <t>There is no evidence of documented student counseling.</t>
  </si>
  <si>
    <t>Evidence of student evaluation is incomplete and the following areas are missing: [insert missing areas]</t>
  </si>
  <si>
    <t>NOTES:  Signatures but not dates are required.</t>
  </si>
  <si>
    <t>The following affiliation agreements have expired: [list affiliate(s)]
The following affiliation agreements are not fully executed: [list affiliate(s)]</t>
  </si>
  <si>
    <t>There is no evidence that the [insert state] State Office of EMS has been notified that the program is conducting educational activities in their state.</t>
  </si>
  <si>
    <t xml:space="preserve"> Instructional materials</t>
  </si>
  <si>
    <t>NOTE:  Are students required to have texts?  Required texts usually suffice as instructional 
              materials.</t>
  </si>
  <si>
    <t xml:space="preserve">Note: Students may schedule themselves when an internal or external scheduling program is 
           used. </t>
  </si>
  <si>
    <t xml:space="preserve">NOTE:  This item verifies that the appropriate patient care opportunities are available, and not 
              whether the students are tracking and completing the requirements in the SMC. </t>
  </si>
  <si>
    <t xml:space="preserve">NOTE:  This Standard is cited when students are not meeting the program student minimum 
               competency requirements. </t>
  </si>
  <si>
    <t>NOTE:  Review the analysis and action plan in the Annual Report: is it adequate?  Were the 
              results documented in discussion during the Advisory Committee meeting?</t>
  </si>
  <si>
    <t>NOTES:  Review the analysis and action plan in the Annual Report: Is it adequate?  
                Were the results documented in discussion during the Advisory Committee meeting? 
                Verify in the Annual Report if graduate and employer surveys were distributed. 
                When the return rate is low, discuss opportunities to improve the feedback.</t>
  </si>
  <si>
    <t xml:space="preserve">There is no evidence of valid institutional accreditation. 
or 
Institutional accreditation has expired. </t>
  </si>
  <si>
    <t xml:space="preserve">Additional goals are not required: therefore, no suggested language is provided. </t>
  </si>
  <si>
    <t>Students do not have access to the instructional resources required to successfully complete the program.</t>
  </si>
  <si>
    <t>NOTE:  This Standard refers to access and not what students track.  
              Tracking is addressed in IV.A.2.b. 
              Simulations are permitted as identified in the SMC.</t>
  </si>
  <si>
    <t>There is no job description for [faculty] or [adjunct instructors].
or
Resumes were not provided for the following faculty members: [list members].</t>
  </si>
  <si>
    <t>There is no evidence of communication between the medical director and the [associate or assistant] medical director.</t>
  </si>
  <si>
    <t xml:space="preserve">Students report that some instructional staff are not knowledgeable regarding the course content. 
or
Instructor evaluations reflect student dissatisfaction with the course instruction. </t>
  </si>
  <si>
    <t>The satellite appears to function independently and the [instruction or evaluation or skill requirements or list other] is/are not consistent with the main campus.</t>
  </si>
  <si>
    <t>The lead instructor does not possess an associate's degree.</t>
  </si>
  <si>
    <t xml:space="preserve">The lead instructor does not possess a relevant healthcare credential. </t>
  </si>
  <si>
    <t xml:space="preserve">The lead instructor does not have experience in emergency medicine or prehospital care. </t>
  </si>
  <si>
    <t xml:space="preserve">The lead instructor does not demonstrate knowledge of instructional methods. </t>
  </si>
  <si>
    <t>Instructor evaluations reflect student dissatisfaction with the course instruction.</t>
  </si>
  <si>
    <t>Students report that they do not receive directions on scheduling clinical and/or field rotations.</t>
  </si>
  <si>
    <t xml:space="preserve">The clinical coordinator does not have experience in emergency medical services. </t>
  </si>
  <si>
    <t xml:space="preserve">The clinical coordinator is not knowledgeable regarding the curriculum for the profession. </t>
  </si>
  <si>
    <t xml:space="preserve">The clinical coordinator is not experienced performing evaluation of student learning. </t>
  </si>
  <si>
    <t>The analysis and action plan for [retention and/or credentialling and/or placement] was not robust and did not provide a clear plan for improvement.</t>
  </si>
  <si>
    <t>Published materials do not include information for students on the process for [hospital and/or field] assignments.</t>
  </si>
  <si>
    <t>There is no policy or procedure that addresses [bloodborne exposure and/or injury].</t>
  </si>
  <si>
    <t>The program does not conduct periodic assessments, including program/instructor evaluations by students and evaluation of clinical and field sites by the program. 
or
Students do not evaluate the clinical sites.
or
Students do not evaluate the capstone field internship preceptors.</t>
  </si>
  <si>
    <t xml:space="preserve">The results of the resource assessment process are not reviewed with the Advisory Committee as documented in the meeting minutes. </t>
  </si>
  <si>
    <t>The CAAHEP [name and/or web address] is [not published or is not correct].</t>
  </si>
  <si>
    <t xml:space="preserve">Published materials do not include the number of credits or hours required for program completion. </t>
  </si>
  <si>
    <t>There is no evidence of a gradebook or other mechanism to record grades. 
or
There is no system for permanent record and transcript storage.</t>
  </si>
  <si>
    <r>
      <t xml:space="preserve">This is an </t>
    </r>
    <r>
      <rPr>
        <b/>
        <i/>
        <sz val="11"/>
        <rFont val="Arial"/>
        <family val="2"/>
      </rPr>
      <t>UNOFFICIAL</t>
    </r>
    <r>
      <rPr>
        <i/>
        <sz val="11"/>
        <rFont val="Arial"/>
        <family val="2"/>
      </rPr>
      <t xml:space="preserve"> copy of the report, nothing is left with the program. The program will be receiving the </t>
    </r>
    <r>
      <rPr>
        <b/>
        <i/>
        <sz val="11"/>
        <rFont val="Arial"/>
        <family val="2"/>
      </rPr>
      <t>OFFICIAL</t>
    </r>
    <r>
      <rPr>
        <i/>
        <sz val="11"/>
        <rFont val="Arial"/>
        <family val="2"/>
      </rPr>
      <t xml:space="preserve"> copy of the Site Visit Report and Findings Letter.  The Findings Letter will be the official document that the program must respond to for factual accuracy and will include the program's strengths, potential areas of non-compliance, and recommendations.</t>
    </r>
  </si>
  <si>
    <t>Select the sponsor type in the cell below:</t>
  </si>
  <si>
    <t>There is no evidence of a consortium agreement that outlines the expectations and responsibilities of each of the members.
or
The consortium agreement has expired.</t>
  </si>
  <si>
    <t>Administrative and support staff are not required; therefore, no suggested language is provided.</t>
  </si>
  <si>
    <t xml:space="preserve">NOTE:  A lead instructor is only required for a satellite.  The sponsor can use any 
              title/designation for instructors within the program, and they do not have to meet 
              the CAAHEP lead instructor requirements. </t>
  </si>
  <si>
    <t xml:space="preserve">NOTE:  Program hierarchies vary, and faculty do not have to report directly to the program 
              director.  Faculty must cooperate/coordinate with the program director; however, 
              responsibilities may be delegated up (i.e., the dean) or to other faculty.  </t>
  </si>
  <si>
    <t>NOTE:  This does not include the resource assessment process, which is addressed in III.D.</t>
  </si>
  <si>
    <t xml:space="preserve">The academic calendar is not made known to the students. </t>
  </si>
  <si>
    <t>Published materials do not detail the criteria for successful completion of each program segment and/or for graduation.</t>
  </si>
  <si>
    <t xml:space="preserve">Published materials do not specify that the student must always be in a ‘student’ role and must never be substituted for staff: i.e., be a third rider. </t>
  </si>
  <si>
    <t>Number of CoAEMSP Approved Same State Locations 
(according to the Executive Analysis [EA] and
any approved since the SSR was submitted)</t>
  </si>
  <si>
    <t>Number of CoAEMSP Approved Out-of-State Locations
(according to the Executive Analysis [EA] and
any approved since the SSR was submitted)</t>
  </si>
  <si>
    <t>Are there any satellite locations not CoAEMSP approved?</t>
  </si>
  <si>
    <t>Disclaimer For Exit Summation:
Site Visitors, you must read the following disclaimer statement at the beginning of the Exit Summation:</t>
  </si>
  <si>
    <t>“Site visitors do not make an accreditation recommendation nor do they imply what CoAEMSP’s recommendation might be. The program will be required to respond to the accuracy of the findings of the site visit at a later date. The CoAEMSP Board may add, delete, modify, or request clarification to the site visit summation in its Findings Letter, which is sent to the program following this site visit. CoAEMSP bases its recommendation to CAAHEP on the accreditation record of the program compiled during this review, which includes the Self-Study Report, the Site Visit Report, the Findings Letter, and the program’s Response to the Findings Letter. The Commission on Accreditation of Allied Health Education Programs (CAAHEP) determines the final status of public recognition. These are our [site visitors’] impressions of the program's strengths and potential areas of non-compliance with the accreditation Standards…”</t>
  </si>
  <si>
    <t>POTENTIAL AREAS OF NON-COMPLIANCE WITH THE STANDARDS</t>
  </si>
  <si>
    <t>RECOMMENDATIONS may not reflect areas on non-compliance with the Standards, but the program is encouraged to consider</t>
  </si>
  <si>
    <t>Students report they do not have adequate instruction in skill labs.</t>
  </si>
  <si>
    <t>The program does not maintain sufficient equipment for the number of students enrolled. [List specific equipment.]
or
Equipment is in poor condition and requires repair or replacement. [List specific equipment.]
or
The ALS equipment is not representative of the equipment used by the EMS agencies. [Be specific.]</t>
  </si>
  <si>
    <t>The program does not maintain sufficient supplies for the number of students enrolled. [List specific supplies.]</t>
  </si>
  <si>
    <t>The clinical and field internship resources do not provide an adequate volume of patient ages, chief complaints, and interventions to meet student minimum competency requirements. [List specific ages, chief complaints, and interventions.]</t>
  </si>
  <si>
    <t>The clinical and field internship resources do not provide adequate exposure to adult, pediatric, and geriatric medical and trauma emergencies. [List specific ages, chief complaints, and interventions.]</t>
  </si>
  <si>
    <t>There is no evidence of liaison orientation for clinical sites. 
or
The liaison orientation does not include the required elements. [List missing components.]
or
There is no evidence that all capstone field internship preceptors have been trained.
or 
The capstone field internship training materials do not include the required elements. [List missing components.]
and/or
The capstone field internship training materials do not include after-hours contact information for program personnel.
and/or
The capstone field internship training does not include the definition of a team lead. 
and/or
The capstone field internship training does not include the required number of team leads.</t>
  </si>
  <si>
    <t>The course syllabi do not include the required elements for each phase of the program: didactic, laboratory, clinical, field experience, and capstone field internship. [List missing elements.]</t>
  </si>
  <si>
    <t>There is no evidence of a signed and dated Curriculum Overview form for AEMT and/or Paramedic.</t>
  </si>
  <si>
    <t xml:space="preserve">The resource assessment process resulting in the Resource Assessment Matrix (RAM) has not been completed annually. Missing year(s) is/are [insert year(s)].
or
Resource assessment surveys are not distributed to [personnel or Advisory Committee members].
or
The results of the resource assessment process are not reviewed with the Advisory Committee as documented in the meeting minutes. </t>
  </si>
  <si>
    <t xml:space="preserve">NOTES:  Distance learning formats do not currently require CoAEMSP approval as a substantive 
                 change. </t>
  </si>
  <si>
    <t>There is no evidence that the medical director reviews and approves the required minimum number of patient contacts and procedures (SMC).</t>
  </si>
  <si>
    <t>There is no evidence of current State Office of EMS approval for the program.</t>
  </si>
  <si>
    <t>The Advisory Committee has not met annually. Missing years are [insert years].
or
The Advisory Committee minutes do not reflect discussion of the [Minimum Expectation or required patient contacts (SMC) or assessment of program effectiveness].</t>
  </si>
  <si>
    <t>Faculty are not supported in seeking professional development. 
or 
Faculty do not take advantage of internal or external opportunities for professional development.</t>
  </si>
  <si>
    <t>Communication between the medical director and program director is infrequent. Specify frequency if possible.</t>
  </si>
  <si>
    <t>Not all graduates met the program's established student minimum competency requirements per the internal tracking system (SMC).</t>
  </si>
  <si>
    <t>One or more of the following outcomes do not meet the 70% threshold: [retention and/or credentialing and/or placement] for [insert the year(s)] Annual Reporting year(s).</t>
  </si>
  <si>
    <t>The program outcomes for [retention and/or credentialing exam and/or placement] are not posted on the program webpage.
or
The outcomes for [retention and/or credentialing exam and/or placement] posted on the program webpage do not match the data in the CoAEMSP Annual Report.</t>
  </si>
  <si>
    <t>There is no evidence of documented student advisement documenting progression.</t>
  </si>
  <si>
    <t>NOTES: Additional goals are not required.  
               Select N/A if the program has not identified additional goals.
               Failure to distribute graduate and employer surveys is cited in IV.B.1.</t>
  </si>
  <si>
    <t xml:space="preserve">NOTE:  This Standard references adequate number of resources.  
              Not meeting required summary tracking should be noted in IV.A. </t>
  </si>
  <si>
    <t>There is no evidence of liaison orientation for clinical sites.
or
The liaison orientation does not include the required elements. [List missing elements]
or
There is no evidence that all capstone field internship preceptors have been trained.
or 
The capstone field internship training materials do not include the required elements. [List missing elements]
and/or
The capstone field internship training materials do not include after-hours contact information for program personnel.
and/or
The capstone field internship training does not include the definition of a team lead. 
and/or
The capstone field internship training does not include the required number of team leads.</t>
  </si>
  <si>
    <t>NOTES:  For colleges, admission information may be kept in the admissions system rather than 
                student files. It is acceptable that elements of student files are in different locations.</t>
  </si>
  <si>
    <t xml:space="preserve">         Are all Satellite Lead Instructors 
        on file as CoAEMSP approved?</t>
  </si>
  <si>
    <t>6. Satellite Lead Instructor (if applicable)</t>
  </si>
  <si>
    <t xml:space="preserve">         Does the program utilize the Associate MD position?</t>
  </si>
  <si>
    <t>No agreement, memo of understanding, or contract with the Associate MD.</t>
  </si>
  <si>
    <t>Current license is not on file.</t>
  </si>
  <si>
    <t>The sponsor has not ensured that the provisions of the Standards are met.  Refer to the findings listed.</t>
  </si>
  <si>
    <t xml:space="preserve">General Note:  Any findings must be based on what is not occurring in the program and must 
                           consider the number of cohorts, the number of students, the course schedule, 
                           and other operational issues. </t>
  </si>
  <si>
    <t>Finances must be adequate; however, no program-specific budget is required.  Findings in this area are specific to the site visit team's findings</t>
  </si>
  <si>
    <t>Findings in this area are specific to the site visit team findings.</t>
  </si>
  <si>
    <t xml:space="preserve">Since verified by CoAEMSP, there should not be a finding for this section. </t>
  </si>
  <si>
    <t>No suggested language; findings in this area are specific to the site visit team findings.</t>
  </si>
  <si>
    <t>No suggested language; areas of non-compliance in this area are specific to the site visit team findings.</t>
  </si>
  <si>
    <t>Note: Orientation and training are the primary responsibility of the program director.  If these 
           activities are delegated to a clinical coordinator and they are not occurring, this is a 
           finding.</t>
  </si>
  <si>
    <t xml:space="preserve">NOTES:  The Excel document does not require a signature, and the medical director’s name is 
                 typed. 
                This is not the finding for incomplete summary tracking. </t>
  </si>
  <si>
    <t>Lead instructors for [list satellite(s)] have not completed the CoAEMSP approval process.</t>
  </si>
  <si>
    <t>Standard III.A.1. Resources - Type and Amount 
[same state satellite location(s)]</t>
  </si>
  <si>
    <t>Standard III.B.6.a. &amp; b. Lead Instructor Responsibilities &amp; Qualifications</t>
  </si>
  <si>
    <t xml:space="preserve">Standard III.B.4. Assistant MD </t>
  </si>
  <si>
    <t xml:space="preserve">Rationale for "Not Met" </t>
  </si>
  <si>
    <t xml:space="preserve"> </t>
  </si>
  <si>
    <t>No agreement, memo of understanding, or contract with the Assistant MD.</t>
  </si>
  <si>
    <t>Assistant Medical Director(s) is/are not qualified for the position. [List rationale]</t>
  </si>
  <si>
    <t xml:space="preserve">         Does the program utilize out of state clinical or 
         field internship affiliates?</t>
  </si>
  <si>
    <r>
      <t xml:space="preserve">Site Visitors:  Suggested language should be referenced as findings or areas of non-compliance.  This column contains suggested language to use when a Standard is indicated as "Not Met" in column G.  The suggested language will not appear if "Met" is selected.
Copy the suggested language by double clicking within the cell in column N, highlight the language you'd like to use, and paste it in the rationale column J-L .  Additional comments can be added in columns J-L if needed.
Standards without suggested language require specific details from the site visit team.
Additional notes have been included in </t>
    </r>
    <r>
      <rPr>
        <b/>
        <sz val="11"/>
        <color rgb="FF009242"/>
        <rFont val="Arial"/>
        <family val="2"/>
        <scheme val="minor"/>
      </rPr>
      <t>green</t>
    </r>
    <r>
      <rPr>
        <b/>
        <sz val="11"/>
        <rFont val="Arial"/>
        <family val="2"/>
        <scheme val="minor"/>
      </rPr>
      <t xml:space="preserve"> in various Standards below.</t>
    </r>
  </si>
  <si>
    <r>
      <t xml:space="preserve">1. Review Site Visit Report prior to submitting to the CoAEMSP.
2. Confirm that the rationale identifies how the program is in not in compliance with the </t>
    </r>
    <r>
      <rPr>
        <i/>
        <sz val="11"/>
        <rFont val="Arial"/>
        <family val="2"/>
      </rPr>
      <t>Standard</t>
    </r>
    <r>
      <rPr>
        <sz val="11"/>
        <rFont val="Arial"/>
        <family val="2"/>
      </rPr>
      <t>.</t>
    </r>
  </si>
  <si>
    <t xml:space="preserve">          Policies regarding performing clinical work
          while enrolled in the program</t>
  </si>
  <si>
    <t>Satellite Lead Instructor(s)
(on file with CoAEMSP)</t>
  </si>
  <si>
    <t xml:space="preserve">Not all of the required communities of interest are represented on the Advisory Committee.  [List missing representation].
or
There is no public member on the Advisory Committee who meets the requirements for a public member.   </t>
  </si>
  <si>
    <t xml:space="preserve">The program utilizes out of state clinical or field internship affiliates and an Assistant Medical Director(s) has/have not been appointed.  </t>
  </si>
  <si>
    <t>Standard I.B.1 Responsibilities of Program Sponsor</t>
  </si>
  <si>
    <t>Standard I.B.2 Responsibilities of Program Sponsor</t>
  </si>
  <si>
    <t>Standard I.B.3 Responsibilities of Program Sponsor</t>
  </si>
  <si>
    <t>Site Visitors:
The CoAEMSP Site Visit Team does not leave a copy of the SV Report with the program and under no circumstances is the report to be emailed to the program.</t>
  </si>
  <si>
    <t>Suggested Language for Strengths</t>
  </si>
  <si>
    <t>Sponsor and Advisory Committee</t>
  </si>
  <si>
    <t>The college administration demonstrates its commitment through the provision of resources and active participation.</t>
  </si>
  <si>
    <t xml:space="preserve">The communities of interest are engaged with the program and provide valuable input. </t>
  </si>
  <si>
    <t>The program is highly respected in the community.</t>
  </si>
  <si>
    <t xml:space="preserve">Employers recognize the graduates as excellent providers. </t>
  </si>
  <si>
    <t>Personnel</t>
  </si>
  <si>
    <t xml:space="preserve">The program faculty are committed to educating the students and ensuring that they receive high-quality education and practical preparation. </t>
  </si>
  <si>
    <t xml:space="preserve">The faculty provides frequent student counseling and coaching and advocates for student success.   </t>
  </si>
  <si>
    <t>The faculty work well as a team.</t>
  </si>
  <si>
    <t>The program director, [PD Name], collaborates with the faculty to create a culture of success and student support.</t>
  </si>
  <si>
    <t>Students appreciate instructor [Instructor Name]'s availability and readiness to provide additional support.</t>
  </si>
  <si>
    <t>Resources</t>
  </si>
  <si>
    <t>The facilities provide an excellent learning environment.</t>
  </si>
  <si>
    <t xml:space="preserve">The program has access to an extensive state-of-the-art interprofessional simulation center. </t>
  </si>
  <si>
    <t xml:space="preserve">The program is well-equipped with adequate resources to meet the cohort sizes. </t>
  </si>
  <si>
    <t xml:space="preserve">The funding for equipment is robust. </t>
  </si>
  <si>
    <t>A cadaver laboratory learning experience reinforces the understanding of anatomy and physiology and advanced procedures.</t>
  </si>
  <si>
    <t>Clinical and Capstone Field Internship</t>
  </si>
  <si>
    <t>The partnerships with local services/sites are a strength.</t>
  </si>
  <si>
    <t>Students are afforded excellent clinical opportunities in specialty units</t>
  </si>
  <si>
    <t>Consider a process for communicating to preceptors which skills the student has been approved to perform at clinical and field sites.</t>
  </si>
  <si>
    <t xml:space="preserve">The capstone field internship preceptors are enthusiastic and engaged. </t>
  </si>
  <si>
    <t>The program has a robust group of clinical and field preceptors.</t>
  </si>
  <si>
    <t>Assigning faculty as clinical preceptors is a best practice that contributes to meaningful clinical student experiences.</t>
  </si>
  <si>
    <t>Students spend a clinical shift with the program's medical director in the emergency department.</t>
  </si>
  <si>
    <t xml:space="preserve">The hospital representatives and the field sites speak highly of the level of student knowledge and preparation. </t>
  </si>
  <si>
    <t>Site Visitors:  The following suggested language can be copied and pasted in the strengths and/or recommendations sections of the Summary of Findings - Main tab of this worksheet.  For each of the areas, there may be more than one option. 
Copy the suggested language by double clicking within the cell below in this column [column A], highlight the language you'd like to use, select the Summary of Findings - Main tab, double click within the cell of the section you'd like to include it in, and paste it.  Additional comments can be added in once the suggested language has been pasted if needed.</t>
  </si>
  <si>
    <t>Strengths and Recommendations Sections
of the Summary of Findings - Main tab (this worksheet)</t>
  </si>
  <si>
    <t>Suggested Language for Recommendations</t>
  </si>
  <si>
    <t xml:space="preserve">Recommend using the CoAEMSP Advisory Committee Meeting Agenda/Minutes template to ensure discussion of the required topics. </t>
  </si>
  <si>
    <t>Recommend that the program conduct a comprehensive review to ensure that all documents accurately reflect the program sponsor’s name.</t>
  </si>
  <si>
    <t xml:space="preserve">Recommend that the program assess current and future needs using the Paramedic Program Proforma Worksheet and the Paramedic Program Staffing and Space Model documents from the CoAEMSP website Resource Library. </t>
  </si>
  <si>
    <t>Lab activity space is currently limited, and planning for additional resources is recommended.</t>
  </si>
  <si>
    <t>The program should address the limited space and outdated facilities, which can hinder learning and raises safety concerns.</t>
  </si>
  <si>
    <t xml:space="preserve">Explore funding for additional manikins and lab equipment. </t>
  </si>
  <si>
    <t>Wireless access is inconsistent, and the issue should be addressed and resolved.</t>
  </si>
  <si>
    <t xml:space="preserve">Recommend that faculty take advantage of various educational opportunities to assist in professional development, including webinars, workshops, item writing sessions, and conferences such as ACCREDITCON. </t>
  </si>
  <si>
    <t>Recommend that faculty take advantage of educational opportunities related to item writing, item analysis, and assessment for the validity and reliability of high-stakes exams.</t>
  </si>
  <si>
    <t xml:space="preserve">Recommend that faculty volunteer for the National Registry of EMTs item review sessions as a subject matter expert to continue to develop expertise in exam construction. </t>
  </si>
  <si>
    <t>Maintain ongoing faculty development initiatives to advance and update instructional methodologies.</t>
  </si>
  <si>
    <t xml:space="preserve">Address the high student-to-instructor ratio in labs, as the current staffing does not provide adequate instruction. </t>
  </si>
  <si>
    <t>The current workload for the program director does not allow adequate time to accomplish the administrative responsibilities.  Recommend ‘release’ time.  Attention to workload can contribute to longevity.</t>
  </si>
  <si>
    <t xml:space="preserve">Recommend assessing the current program director's duties to determine appropriate staffing levels. </t>
  </si>
  <si>
    <t>Allocate specific release time for the program director and clinical coordinator to fulfil their duties effectively.</t>
  </si>
  <si>
    <t>Evaluate the team workload to ensure efficiency, effectiveness, and appropriate distribution of responsibilities.</t>
  </si>
  <si>
    <t xml:space="preserve">Recommend identifying or adding a full- or part-time clinical coordinator to fulfill the required responsibilities. </t>
  </si>
  <si>
    <t xml:space="preserve">Explore options for providing clerical/administrative support for the program, allowing the program director and faculty to concentrate on instructional activities. </t>
  </si>
  <si>
    <t>Explore opportunities to increase the medical director's involvement and interaction with students.</t>
  </si>
  <si>
    <t xml:space="preserve">Develop a process for communication between the program medical director and [associate or assistant] medical director(s) as needed.  </t>
  </si>
  <si>
    <t>Improve communication and consistency of practice in labs with part-time instructors.</t>
  </si>
  <si>
    <t>Engage in succession planning to build strong leaders and secure the future.</t>
  </si>
  <si>
    <t>Consider updating affiliation agreements that are ‘evergreen’ and have not undergone review and renewal in the recent past.</t>
  </si>
  <si>
    <t>Explore pediatric contact opportunities with pediatric physician offices and/or pediatric specialty hospitals.</t>
  </si>
  <si>
    <t>Adopt and implement the distinctions between field experience and capstone field internship in practice and as described in program materials.</t>
  </si>
  <si>
    <t>Develop a plan to periodically update the orientation of clinical liaisons and the capstone field internship preceptors.</t>
  </si>
  <si>
    <t>Suggest separating clinical and capstone preceptor materials.</t>
  </si>
  <si>
    <t>Distribute a handbook to hospital and field locations containing information on expectations, regulations, procedures, and program personnel emergency contact information.</t>
  </si>
  <si>
    <t xml:space="preserve">Explore a process for assigning a consistent preceptor for the capstone field internship and a joint approval process of the preceptor between the program and the EMS agency. </t>
  </si>
  <si>
    <t>Explore options to minimize the number of different preceptors per student in the capstone field internship.</t>
  </si>
  <si>
    <t>Create a formal process for student feedback to clinical sites and capstone internship preceptors.</t>
  </si>
  <si>
    <t>Consider a process for preceptor recognition.</t>
  </si>
  <si>
    <t>Miscellaneous</t>
  </si>
  <si>
    <t>Consider implementing pre-entrance screening to promote student success and improve retention.</t>
  </si>
  <si>
    <t xml:space="preserve">Consider conducting an orientation session prior to the commencement of the program in order to inform prospective students and enhance retention rates. </t>
  </si>
  <si>
    <t>Explore ways to improve recruitment strategies to increase program enrollment.</t>
  </si>
  <si>
    <t xml:space="preserve">Consider adding anatomy and physiology as a prerequisite. </t>
  </si>
  <si>
    <t>Develop strategies that foster problem-solving and higher-order critical thinking skills to enhance student learning and improve overall program outcomes.</t>
  </si>
  <si>
    <t>Design simulation scenarios with clearly articulated objectives and expected outcomes.</t>
  </si>
  <si>
    <t>Consider increasing the frequency of affective evaluations and progress reports.</t>
  </si>
  <si>
    <t>Implement a faculty committee for the development and review of exam items.</t>
  </si>
  <si>
    <t>Consider developing a regular review process for handbooks, manuals, syllabi, website, and other publications to ensure that the latest policies and information are available to students and preceptors.</t>
  </si>
  <si>
    <t>Establish a structured system for organizing all pertinent student, cohort, and program records, as well as communications, into comprehensive files.</t>
  </si>
  <si>
    <t>Student files should be updated and maintained to reflect student progression and to ensure that necessary signatures are included.</t>
  </si>
  <si>
    <t>Document conversations with students, the medical director, and the instructional team.</t>
  </si>
  <si>
    <t>Recommend adopting a learning management system (LMS) and providing students access to program documents and resources.</t>
  </si>
  <si>
    <t>Require students to complete the resource assessment survey immediately prior to course completion.</t>
  </si>
  <si>
    <t>The CAAHEP accreditation statement is modified in some published materials and/or the program website and must be published verbatim as specified in the CoAEMSP Policy.  Include the website and phone numbers for CAAHEP and CoAEMSP.</t>
  </si>
  <si>
    <t>The college provides outstanding services to support students through [mental health counseling, food, housing, and scholarships].</t>
  </si>
  <si>
    <t>The simulation for [facility or equipment] provides a significant educational resource.</t>
  </si>
  <si>
    <t>Ensure that students, program personnel, the medical director, and the program advisory committee are engaged in the resource assessment process.</t>
  </si>
  <si>
    <t xml:space="preserve">The resource assessment process resulting in the Resource Assessment Matrix (RAM), must be completed for the satellite once students complete the program. </t>
  </si>
  <si>
    <t>Request that program advisory committee members complete the personnel resource assessment survey during the annual program advisory committee meeting.</t>
  </si>
  <si>
    <t>The chair of the program advisory committee should be from one of the communities of interest and not employed by or affiliated with the program sponsor.</t>
  </si>
  <si>
    <t>The program should examine scheduling and attendance options (i.e., in-person or virtual) to increase program advisory committee meeting attendance.</t>
  </si>
  <si>
    <t xml:space="preserve">Consider expanding the program advisory committee. </t>
  </si>
  <si>
    <t xml:space="preserve">The program director and the program medical director should sign the program advisory committee meeting minutes. </t>
  </si>
  <si>
    <t xml:space="preserve">The program advisory committee meeting minutes should include more detail to document the discussions and decisions. </t>
  </si>
  <si>
    <t xml:space="preserve">The program medical director, Dr. [MD Name], is actively engaged in the program and is committed to student success. </t>
  </si>
  <si>
    <t>The program advisory committee is actively engaged and provides valuable input and feedback.</t>
  </si>
  <si>
    <t>Hyperlink to Summary of Findings tab</t>
  </si>
  <si>
    <t>Hyperlink to Strengths &amp; Recommendations tab</t>
  </si>
  <si>
    <t xml:space="preserve">Areas of Non-compliance </t>
  </si>
  <si>
    <t>Strengths</t>
  </si>
  <si>
    <t xml:space="preserve">List the strengths of the program.
Suggested language for the strengths of a program are provided on the Strengths &amp; Recommendations tab.  The Strength &amp; Recommendations tab can be accessed by clicking on the tab at the bottom of this worksheet or by using the hyperlink to the right of this box. ==&gt; </t>
  </si>
  <si>
    <t xml:space="preserve">The row height can be manually adjusted by placing the cursor over the row line and 'pulling' the row down.  Do not delete any rows. Suggested language for recommendations are provided on the Strengths &amp; Recommendations tab.  The Strength &amp; Recommendations tab can be accessed by clicking on the tab at the bottom of this worksheet or by using the hyperlink to the right of this box. ==&gt; </t>
  </si>
  <si>
    <t>Met / 
Not Met</t>
  </si>
  <si>
    <t>Evidence of current State Office of EMS approval</t>
  </si>
  <si>
    <t>Was It Evaluated?</t>
  </si>
  <si>
    <t xml:space="preserve">Planning and change are not based on the resource assessment process. </t>
  </si>
  <si>
    <t xml:space="preserve">Action plans are not based on the resource assessment process. </t>
  </si>
  <si>
    <t>Reports substantive changes in a timely manner: 
change in sponsorship, change in location, notification of key personnel, addition of a satellite location, or addition of a distance learning program</t>
  </si>
  <si>
    <t>The following substantive change occurred but was not reported to CoAEMSP: [list change].
or
The sponsor added [a satellite or # satellites] without prior approval by CoAEMSP.  The following satellite(s) was/were added [insert date], and is/are located at [insert address, city, state].
or
The sponsor added [an alternate location or # alternate locations] without prior approval by CoAEMSP.  The following alternate location(s) was/were added [insert date], and is/are located at [insert address, city, state].
CoAEMSP was not notified of the following key personnal change(s): [list personnel i.e., President, Dean, Program Director, Medical Director, or if applicable Satellite Lead Instructor]</t>
  </si>
  <si>
    <t>SV Report 
Last Modified 2/16/2026</t>
  </si>
  <si>
    <t xml:space="preserve">There is no evidence of final summative evaluation at or near the completion of the capstone field internship in the following domain(s): [cognitive and/or affective].
High-stakes exams are not [developed and/or adopted and/or assessed and/or reviewed] through an item analysis process.  Exams are [vendor or publisher] items with no review for quality or relevance.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</si>
</sst>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lt;=9999999]###\-####;\(###\)\ ###\-####"/>
  </numFmts>
  <fonts count="127" x14ac:knownFonts="1">
    <font>
      <sz val="11"/>
      <color theme="1"/>
      <name val="Arial"/>
      <family val="2"/>
      <scheme val="minor"/>
    </font>
    <font>
      <sz val="12"/>
      <color theme="1"/>
      <name val="Arial"/>
      <family val="2"/>
      <scheme val="minor"/>
    </font>
    <font>
      <b/>
      <sz val="11"/>
      <color theme="1"/>
      <name val="Arial"/>
      <family val="2"/>
      <scheme val="minor"/>
    </font>
    <font>
      <b/>
      <sz val="14"/>
      <color theme="1"/>
      <name val="Arial"/>
      <family val="2"/>
      <scheme val="minor"/>
    </font>
    <font>
      <b/>
      <sz val="11"/>
      <color theme="0"/>
      <name val="Arial"/>
      <family val="2"/>
      <scheme val="minor"/>
    </font>
    <font>
      <u/>
      <sz val="11"/>
      <color theme="10"/>
      <name val="Arial"/>
      <family val="2"/>
      <scheme val="minor"/>
    </font>
    <font>
      <sz val="10"/>
      <color theme="1"/>
      <name val="Arial"/>
      <family val="2"/>
    </font>
    <font>
      <sz val="11"/>
      <color rgb="FF008000"/>
      <name val="Arial"/>
      <family val="2"/>
    </font>
    <font>
      <sz val="10"/>
      <color indexed="53"/>
      <name val="Arial"/>
      <family val="2"/>
    </font>
    <font>
      <sz val="10"/>
      <name val="Arial"/>
      <family val="2"/>
    </font>
    <font>
      <b/>
      <sz val="8"/>
      <color indexed="81"/>
      <name val="Tahoma"/>
      <family val="2"/>
    </font>
    <font>
      <b/>
      <sz val="24"/>
      <color theme="0"/>
      <name val="Arial"/>
      <family val="2"/>
    </font>
    <font>
      <b/>
      <i/>
      <sz val="24"/>
      <color theme="0"/>
      <name val="Arial"/>
      <family val="2"/>
    </font>
    <font>
      <b/>
      <sz val="14"/>
      <name val="Arial"/>
      <family val="2"/>
      <scheme val="minor"/>
    </font>
    <font>
      <sz val="9"/>
      <color indexed="81"/>
      <name val="Tahoma"/>
      <family val="2"/>
    </font>
    <font>
      <b/>
      <sz val="9"/>
      <color indexed="81"/>
      <name val="Tahoma"/>
      <family val="2"/>
    </font>
    <font>
      <sz val="11"/>
      <name val="Arial"/>
      <family val="2"/>
    </font>
    <font>
      <i/>
      <sz val="11"/>
      <name val="Arial"/>
      <family val="2"/>
    </font>
    <font>
      <b/>
      <sz val="36"/>
      <color theme="8"/>
      <name val="Arial"/>
      <family val="2"/>
      <scheme val="minor"/>
    </font>
    <font>
      <b/>
      <sz val="11"/>
      <color theme="9" tint="-0.249977111117893"/>
      <name val="Arial"/>
      <family val="2"/>
      <scheme val="minor"/>
    </font>
    <font>
      <sz val="11"/>
      <color rgb="FFFF0000"/>
      <name val="Arial"/>
      <family val="2"/>
      <scheme val="minor"/>
    </font>
    <font>
      <b/>
      <sz val="11"/>
      <color rgb="FFC00000"/>
      <name val="Arial"/>
      <family val="2"/>
      <scheme val="minor"/>
    </font>
    <font>
      <b/>
      <sz val="11"/>
      <name val="Arial"/>
      <family val="2"/>
      <scheme val="minor"/>
    </font>
    <font>
      <sz val="11"/>
      <name val="Arial"/>
      <family val="2"/>
      <scheme val="minor"/>
    </font>
    <font>
      <sz val="14"/>
      <color theme="1"/>
      <name val="Arial"/>
      <family val="2"/>
      <scheme val="minor"/>
    </font>
    <font>
      <sz val="11"/>
      <color theme="0"/>
      <name val="Arial"/>
      <family val="2"/>
      <scheme val="minor"/>
    </font>
    <font>
      <b/>
      <sz val="12"/>
      <color theme="1"/>
      <name val="Arial"/>
      <family val="2"/>
      <scheme val="minor"/>
    </font>
    <font>
      <b/>
      <sz val="12"/>
      <color theme="0"/>
      <name val="Arial"/>
      <family val="2"/>
      <scheme val="minor"/>
    </font>
    <font>
      <sz val="11"/>
      <color theme="0" tint="-0.249977111117893"/>
      <name val="Arial"/>
      <family val="2"/>
      <scheme val="minor"/>
    </font>
    <font>
      <sz val="9"/>
      <color theme="1"/>
      <name val="Arial"/>
      <family val="2"/>
      <scheme val="minor"/>
    </font>
    <font>
      <b/>
      <sz val="11"/>
      <color theme="5" tint="-0.249977111117893"/>
      <name val="Arial"/>
      <family val="2"/>
      <scheme val="minor"/>
    </font>
    <font>
      <sz val="11"/>
      <color rgb="FFC00000"/>
      <name val="Arial"/>
      <family val="2"/>
      <scheme val="minor"/>
    </font>
    <font>
      <sz val="10"/>
      <color rgb="FF002060"/>
      <name val="Arial"/>
      <family val="2"/>
    </font>
    <font>
      <b/>
      <sz val="11"/>
      <color rgb="FF002060"/>
      <name val="Arial"/>
      <family val="2"/>
      <scheme val="minor"/>
    </font>
    <font>
      <b/>
      <sz val="10"/>
      <color rgb="FF002060"/>
      <name val="Arial"/>
      <family val="2"/>
    </font>
    <font>
      <b/>
      <i/>
      <sz val="9"/>
      <color indexed="81"/>
      <name val="Tahoma"/>
      <family val="2"/>
    </font>
    <font>
      <b/>
      <sz val="14"/>
      <color theme="0"/>
      <name val="Arial"/>
      <family val="2"/>
      <scheme val="minor"/>
    </font>
    <font>
      <sz val="14"/>
      <color theme="0"/>
      <name val="Arial"/>
      <family val="2"/>
      <scheme val="minor"/>
    </font>
    <font>
      <sz val="11"/>
      <color rgb="FF0070C0"/>
      <name val="Arial"/>
      <family val="2"/>
      <scheme val="minor"/>
    </font>
    <font>
      <b/>
      <sz val="20"/>
      <name val="Arial"/>
      <family val="2"/>
    </font>
    <font>
      <sz val="10"/>
      <color rgb="FF0070C0"/>
      <name val="Arial"/>
      <family val="2"/>
    </font>
    <font>
      <b/>
      <sz val="10"/>
      <color rgb="FF0070C0"/>
      <name val="Arial"/>
      <family val="2"/>
      <scheme val="minor"/>
    </font>
    <font>
      <sz val="10"/>
      <color theme="1"/>
      <name val="Arial"/>
      <family val="2"/>
      <scheme val="minor"/>
    </font>
    <font>
      <sz val="8"/>
      <color theme="1"/>
      <name val="Arial"/>
      <family val="2"/>
      <scheme val="minor"/>
    </font>
    <font>
      <b/>
      <sz val="9"/>
      <name val="Arial"/>
      <family val="2"/>
      <scheme val="minor"/>
    </font>
    <font>
      <sz val="8"/>
      <color indexed="81"/>
      <name val="Tahoma"/>
      <family val="2"/>
    </font>
    <font>
      <i/>
      <sz val="8"/>
      <color indexed="81"/>
      <name val="Tahoma"/>
      <family val="2"/>
    </font>
    <font>
      <sz val="10"/>
      <color theme="0"/>
      <name val="Arial"/>
      <family val="2"/>
    </font>
    <font>
      <sz val="8"/>
      <color theme="0"/>
      <name val="Arial"/>
      <family val="2"/>
      <scheme val="minor"/>
    </font>
    <font>
      <sz val="10"/>
      <color theme="9" tint="-0.249977111117893"/>
      <name val="Arial"/>
      <family val="2"/>
      <scheme val="minor"/>
    </font>
    <font>
      <sz val="12"/>
      <color theme="1"/>
      <name val="Arial"/>
      <family val="2"/>
      <scheme val="minor"/>
    </font>
    <font>
      <b/>
      <sz val="20"/>
      <color theme="1"/>
      <name val="Arial"/>
      <family val="2"/>
      <scheme val="minor"/>
    </font>
    <font>
      <sz val="8"/>
      <color rgb="FFFF0000"/>
      <name val="Arial"/>
      <family val="2"/>
      <scheme val="minor"/>
    </font>
    <font>
      <b/>
      <i/>
      <sz val="11"/>
      <name val="Arial"/>
      <family val="2"/>
    </font>
    <font>
      <sz val="9"/>
      <color rgb="FF003080"/>
      <name val="Arial"/>
      <family val="2"/>
    </font>
    <font>
      <b/>
      <sz val="16"/>
      <color theme="0"/>
      <name val="Arial"/>
      <family val="2"/>
      <scheme val="minor"/>
    </font>
    <font>
      <sz val="16"/>
      <color theme="1"/>
      <name val="Arial"/>
      <family val="2"/>
      <scheme val="minor"/>
    </font>
    <font>
      <i/>
      <sz val="14"/>
      <color theme="1"/>
      <name val="Arial"/>
      <family val="2"/>
      <scheme val="minor"/>
    </font>
    <font>
      <b/>
      <sz val="14"/>
      <color rgb="FF0070C0"/>
      <name val="Arial"/>
      <family val="2"/>
      <scheme val="minor"/>
    </font>
    <font>
      <i/>
      <sz val="12"/>
      <color theme="1"/>
      <name val="Arial"/>
      <family val="2"/>
      <scheme val="minor"/>
    </font>
    <font>
      <i/>
      <sz val="12"/>
      <color rgb="FF0070C0"/>
      <name val="Arial"/>
      <family val="2"/>
      <scheme val="minor"/>
    </font>
    <font>
      <b/>
      <sz val="10"/>
      <color rgb="FF0070C0"/>
      <name val="Arial"/>
      <family val="2"/>
    </font>
    <font>
      <b/>
      <sz val="11"/>
      <color theme="0"/>
      <name val="Arial"/>
      <family val="2"/>
    </font>
    <font>
      <sz val="11"/>
      <color theme="1"/>
      <name val="Arial"/>
      <family val="2"/>
    </font>
    <font>
      <b/>
      <sz val="14"/>
      <color theme="1"/>
      <name val="Arial"/>
      <family val="2"/>
    </font>
    <font>
      <sz val="11"/>
      <color theme="0"/>
      <name val="Arial"/>
      <family val="2"/>
    </font>
    <font>
      <b/>
      <sz val="11"/>
      <color theme="1"/>
      <name val="Arial"/>
      <family val="2"/>
    </font>
    <font>
      <b/>
      <sz val="12"/>
      <color theme="1"/>
      <name val="Arial"/>
      <family val="2"/>
    </font>
    <font>
      <b/>
      <sz val="11"/>
      <name val="Arial"/>
      <family val="2"/>
    </font>
    <font>
      <b/>
      <sz val="18"/>
      <color theme="1"/>
      <name val="Arial"/>
      <family val="2"/>
    </font>
    <font>
      <sz val="11"/>
      <color rgb="FF0070C0"/>
      <name val="Arial"/>
      <family val="2"/>
    </font>
    <font>
      <b/>
      <sz val="18"/>
      <name val="Arial"/>
      <family val="2"/>
    </font>
    <font>
      <b/>
      <sz val="11"/>
      <color rgb="FF0070C0"/>
      <name val="Arial"/>
      <family val="2"/>
    </font>
    <font>
      <sz val="9"/>
      <color rgb="FF0070C0"/>
      <name val="Arial"/>
      <family val="2"/>
    </font>
    <font>
      <b/>
      <sz val="14"/>
      <color theme="0"/>
      <name val="Arial"/>
      <family val="2"/>
    </font>
    <font>
      <b/>
      <sz val="36"/>
      <color theme="0"/>
      <name val="Arial"/>
      <family val="2"/>
    </font>
    <font>
      <sz val="14"/>
      <color theme="0"/>
      <name val="Arial"/>
      <family val="2"/>
    </font>
    <font>
      <b/>
      <sz val="16"/>
      <color theme="9"/>
      <name val="Arial"/>
      <family val="2"/>
    </font>
    <font>
      <b/>
      <sz val="8"/>
      <color rgb="FF000000"/>
      <name val="Tahoma"/>
      <family val="2"/>
    </font>
    <font>
      <b/>
      <sz val="10"/>
      <color theme="5"/>
      <name val="Arial"/>
      <family val="2"/>
    </font>
    <font>
      <b/>
      <sz val="28"/>
      <color theme="0"/>
      <name val="Arial (Body)"/>
    </font>
    <font>
      <b/>
      <sz val="14"/>
      <color theme="0"/>
      <name val="Arial (Body)"/>
    </font>
    <font>
      <b/>
      <sz val="10"/>
      <color theme="9"/>
      <name val="Arial"/>
      <family val="2"/>
    </font>
    <font>
      <b/>
      <sz val="9"/>
      <color rgb="FF000000"/>
      <name val="Tahoma"/>
      <family val="2"/>
    </font>
    <font>
      <sz val="9"/>
      <color rgb="FF000000"/>
      <name val="Tahoma"/>
      <family val="2"/>
    </font>
    <font>
      <sz val="11"/>
      <color rgb="FF000000"/>
      <name val="Arial"/>
      <family val="2"/>
    </font>
    <font>
      <b/>
      <sz val="11"/>
      <color rgb="FF000000"/>
      <name val="Arial"/>
      <family val="2"/>
    </font>
    <font>
      <sz val="11"/>
      <color rgb="FF000000"/>
      <name val="Arial"/>
      <family val="2"/>
      <scheme val="minor"/>
    </font>
    <font>
      <sz val="11"/>
      <color theme="9"/>
      <name val="Arial"/>
      <family val="2"/>
    </font>
    <font>
      <b/>
      <sz val="14"/>
      <color rgb="FF000000"/>
      <name val="Arial"/>
      <family val="2"/>
    </font>
    <font>
      <b/>
      <sz val="14"/>
      <color theme="9"/>
      <name val="Arial"/>
      <family val="2"/>
    </font>
    <font>
      <sz val="10"/>
      <color rgb="FF000000"/>
      <name val="Arial"/>
      <family val="2"/>
    </font>
    <font>
      <b/>
      <sz val="11"/>
      <color rgb="FF000000"/>
      <name val="Arial"/>
      <family val="2"/>
      <scheme val="minor"/>
    </font>
    <font>
      <i/>
      <sz val="11"/>
      <color rgb="FF000000"/>
      <name val="Arial"/>
      <family val="2"/>
      <scheme val="minor"/>
    </font>
    <font>
      <b/>
      <sz val="11"/>
      <color rgb="FF000000"/>
      <name val="Arial (Body)"/>
    </font>
    <font>
      <sz val="11"/>
      <color rgb="FF000000"/>
      <name val="Arial (Body)"/>
    </font>
    <font>
      <sz val="11"/>
      <color theme="0"/>
      <name val="Arial (Body)"/>
    </font>
    <font>
      <b/>
      <i/>
      <sz val="9"/>
      <color rgb="FF000000"/>
      <name val="Tahoma"/>
      <family val="2"/>
    </font>
    <font>
      <b/>
      <sz val="12"/>
      <color rgb="FF000000"/>
      <name val="Arial"/>
      <family val="2"/>
    </font>
    <font>
      <sz val="12"/>
      <color rgb="FF000000"/>
      <name val="Arial"/>
      <family val="2"/>
    </font>
    <font>
      <sz val="12"/>
      <color rgb="FF000000"/>
      <name val="Arial (Body)"/>
    </font>
    <font>
      <b/>
      <sz val="12"/>
      <color rgb="FF000000"/>
      <name val="Arial (Body)"/>
    </font>
    <font>
      <sz val="14"/>
      <color rgb="FF000000"/>
      <name val="Arial"/>
      <family val="2"/>
    </font>
    <font>
      <sz val="10"/>
      <color rgb="FF000000"/>
      <name val="Arial (Body)"/>
    </font>
    <font>
      <b/>
      <sz val="14"/>
      <color rgb="FF000000"/>
      <name val="Arial (Body)"/>
    </font>
    <font>
      <b/>
      <sz val="12"/>
      <color theme="0"/>
      <name val="Arial"/>
      <family val="2"/>
    </font>
    <font>
      <sz val="14"/>
      <color theme="9"/>
      <name val="Arial"/>
      <family val="2"/>
    </font>
    <font>
      <sz val="11"/>
      <color theme="9"/>
      <name val="Arial"/>
      <family val="2"/>
      <scheme val="minor"/>
    </font>
    <font>
      <b/>
      <i/>
      <sz val="12"/>
      <color rgb="FF000000"/>
      <name val="Arial"/>
      <family val="2"/>
    </font>
    <font>
      <b/>
      <sz val="10"/>
      <color rgb="FF000000"/>
      <name val="Arial (Body)"/>
    </font>
    <font>
      <u/>
      <sz val="11"/>
      <color rgb="FF000000"/>
      <name val="Arial (Body)"/>
    </font>
    <font>
      <b/>
      <sz val="10"/>
      <color rgb="FF000000"/>
      <name val="Arial"/>
      <family val="2"/>
      <scheme val="minor"/>
    </font>
    <font>
      <b/>
      <sz val="20"/>
      <color theme="0"/>
      <name val="Arial"/>
      <family val="2"/>
    </font>
    <font>
      <b/>
      <i/>
      <sz val="20"/>
      <color theme="0"/>
      <name val="Arial"/>
      <family val="2"/>
    </font>
    <font>
      <b/>
      <sz val="12"/>
      <name val="Arial"/>
      <family val="2"/>
    </font>
    <font>
      <sz val="11"/>
      <color rgb="FF009242"/>
      <name val="Arial"/>
      <family val="2"/>
      <scheme val="minor"/>
    </font>
    <font>
      <b/>
      <sz val="11"/>
      <color rgb="FF009242"/>
      <name val="Arial"/>
      <family val="2"/>
      <scheme val="minor"/>
    </font>
    <font>
      <b/>
      <sz val="11"/>
      <color rgb="FF009242"/>
      <name val="Arial (Body)"/>
    </font>
    <font>
      <b/>
      <sz val="10"/>
      <color rgb="FF000000"/>
      <name val="Arial"/>
      <family val="2"/>
    </font>
    <font>
      <sz val="14"/>
      <color theme="0"/>
      <name val="Arial (Body)"/>
    </font>
    <font>
      <b/>
      <sz val="10"/>
      <name val="Arial"/>
      <family val="2"/>
    </font>
    <font>
      <b/>
      <sz val="20"/>
      <name val="Arial"/>
      <family val="2"/>
      <scheme val="minor"/>
    </font>
    <font>
      <b/>
      <sz val="16"/>
      <color rgb="FF000000"/>
      <name val="Arial"/>
      <family val="2"/>
      <scheme val="minor"/>
    </font>
    <font>
      <b/>
      <sz val="18"/>
      <color theme="0"/>
      <name val="Arial"/>
      <family val="2"/>
      <scheme val="minor"/>
    </font>
    <font>
      <sz val="18"/>
      <color theme="1"/>
      <name val="Arial"/>
      <family val="2"/>
      <scheme val="minor"/>
    </font>
    <font>
      <b/>
      <sz val="9"/>
      <color theme="0"/>
      <name val="Arial"/>
      <family val="2"/>
    </font>
    <font>
      <b/>
      <sz val="11"/>
      <color theme="0" tint="-0.34998626667073579"/>
      <name val="Arial"/>
      <family val="2"/>
      <scheme val="minor"/>
    </font>
  </fonts>
  <fills count="34">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rgb="FFCCFFCC"/>
        <bgColor indexed="64"/>
      </patternFill>
    </fill>
    <fill>
      <patternFill patternType="solid">
        <fgColor theme="5" tint="0.79998168889431442"/>
        <bgColor indexed="64"/>
      </patternFill>
    </fill>
    <fill>
      <patternFill patternType="solid">
        <fgColor rgb="FFFFFF99"/>
        <bgColor indexed="64"/>
      </patternFill>
    </fill>
    <fill>
      <patternFill patternType="solid">
        <fgColor rgb="FFD8BEE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A3A3"/>
        <bgColor indexed="64"/>
      </patternFill>
    </fill>
    <fill>
      <patternFill patternType="solid">
        <fgColor rgb="FFC7A1E3"/>
        <bgColor indexed="64"/>
      </patternFill>
    </fill>
    <fill>
      <patternFill patternType="solid">
        <fgColor rgb="FF2DAFC1"/>
        <bgColor indexed="64"/>
      </patternFill>
    </fill>
    <fill>
      <patternFill patternType="solid">
        <fgColor rgb="FF7BD5E1"/>
        <bgColor indexed="64"/>
      </patternFill>
    </fill>
    <fill>
      <patternFill patternType="solid">
        <fgColor rgb="FF92DCE6"/>
        <bgColor indexed="64"/>
      </patternFill>
    </fill>
    <fill>
      <patternFill patternType="solid">
        <fgColor rgb="FFC1EBF1"/>
        <bgColor indexed="64"/>
      </patternFill>
    </fill>
    <fill>
      <patternFill patternType="solid">
        <fgColor rgb="FFFFF8E5"/>
        <bgColor indexed="64"/>
      </patternFill>
    </fill>
    <fill>
      <patternFill patternType="solid">
        <fgColor rgb="FF609ED6"/>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bgColor indexed="64"/>
      </patternFill>
    </fill>
    <fill>
      <patternFill patternType="solid">
        <fgColor theme="7"/>
        <bgColor indexed="64"/>
      </patternFill>
    </fill>
    <fill>
      <patternFill patternType="solid">
        <fgColor theme="4" tint="0.59999389629810485"/>
        <bgColor indexed="64"/>
      </patternFill>
    </fill>
    <fill>
      <patternFill patternType="solid">
        <fgColor rgb="FFC198E0"/>
        <bgColor indexed="64"/>
      </patternFill>
    </fill>
    <fill>
      <patternFill patternType="solid">
        <fgColor rgb="FFE1CCF0"/>
        <bgColor indexed="64"/>
      </patternFill>
    </fill>
    <fill>
      <patternFill patternType="solid">
        <fgColor rgb="FFCCFF99"/>
        <bgColor indexed="64"/>
      </patternFill>
    </fill>
    <fill>
      <patternFill patternType="solid">
        <fgColor theme="2" tint="0.79998168889431442"/>
        <bgColor indexed="64"/>
      </patternFill>
    </fill>
    <fill>
      <patternFill patternType="solid">
        <fgColor rgb="FFA7001E"/>
        <bgColor indexed="64"/>
      </patternFill>
    </fill>
    <fill>
      <patternFill patternType="solid">
        <fgColor theme="9" tint="-0.249977111117893"/>
        <bgColor indexed="64"/>
      </patternFill>
    </fill>
    <fill>
      <patternFill patternType="solid">
        <fgColor theme="9"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0" fontId="5" fillId="0" borderId="0" applyNumberFormat="0" applyFill="0" applyBorder="0" applyAlignment="0" applyProtection="0"/>
  </cellStyleXfs>
  <cellXfs count="920">
    <xf numFmtId="0" fontId="0" fillId="0" borderId="0" xfId="0"/>
    <xf numFmtId="0" fontId="0" fillId="0" borderId="0" xfId="0" applyAlignment="1">
      <alignment wrapText="1"/>
    </xf>
    <xf numFmtId="0" fontId="0" fillId="0" borderId="0" xfId="0" applyProtection="1">
      <protection locked="0"/>
    </xf>
    <xf numFmtId="0" fontId="6" fillId="0" borderId="0" xfId="0" applyFont="1"/>
    <xf numFmtId="0" fontId="8" fillId="0" borderId="0" xfId="0" applyFont="1" applyAlignment="1">
      <alignment horizontal="left" vertical="center" wrapText="1" indent="1"/>
    </xf>
    <xf numFmtId="0" fontId="0" fillId="0" borderId="0" xfId="0" applyAlignment="1">
      <alignment horizontal="center" vertical="center"/>
    </xf>
    <xf numFmtId="0" fontId="0" fillId="6" borderId="0" xfId="0" applyFill="1"/>
    <xf numFmtId="0" fontId="0" fillId="0" borderId="0" xfId="0" applyAlignment="1">
      <alignment vertical="center"/>
    </xf>
    <xf numFmtId="0" fontId="24" fillId="0" borderId="0" xfId="0" applyFont="1"/>
    <xf numFmtId="0" fontId="0" fillId="0" borderId="0" xfId="0" applyAlignment="1">
      <alignment horizontal="left" vertical="center"/>
    </xf>
    <xf numFmtId="0" fontId="13" fillId="3" borderId="8" xfId="0" applyFont="1" applyFill="1" applyBorder="1" applyAlignment="1">
      <alignment horizontal="left"/>
    </xf>
    <xf numFmtId="0" fontId="23" fillId="0" borderId="0" xfId="0" applyFont="1"/>
    <xf numFmtId="0" fontId="26" fillId="0" borderId="0" xfId="0" applyFont="1" applyAlignment="1">
      <alignment horizontal="center"/>
    </xf>
    <xf numFmtId="0" fontId="0" fillId="0" borderId="0" xfId="0" applyAlignment="1">
      <alignment vertical="top"/>
    </xf>
    <xf numFmtId="0" fontId="0" fillId="10" borderId="1" xfId="0" applyFill="1" applyBorder="1" applyAlignment="1">
      <alignment horizontal="center"/>
    </xf>
    <xf numFmtId="0" fontId="25" fillId="0" borderId="0" xfId="0" applyFont="1" applyAlignment="1">
      <alignment horizontal="center"/>
    </xf>
    <xf numFmtId="14" fontId="0" fillId="8" borderId="1" xfId="0" applyNumberFormat="1" applyFill="1" applyBorder="1" applyProtection="1">
      <protection locked="0"/>
    </xf>
    <xf numFmtId="0" fontId="28" fillId="0" borderId="0" xfId="0" applyFont="1" applyAlignment="1">
      <alignment horizontal="center"/>
    </xf>
    <xf numFmtId="0" fontId="0" fillId="8" borderId="1" xfId="0" applyFill="1" applyBorder="1" applyProtection="1">
      <protection locked="0"/>
    </xf>
    <xf numFmtId="0" fontId="25" fillId="0" borderId="0" xfId="0" applyFont="1"/>
    <xf numFmtId="0" fontId="2" fillId="0" borderId="0" xfId="0" applyFont="1"/>
    <xf numFmtId="0" fontId="0" fillId="0" borderId="0" xfId="0" applyAlignment="1">
      <alignment horizontal="center"/>
    </xf>
    <xf numFmtId="0" fontId="0" fillId="0" borderId="0" xfId="0" applyAlignment="1" applyProtection="1">
      <alignment horizontal="center"/>
      <protection locked="0"/>
    </xf>
    <xf numFmtId="0" fontId="0" fillId="0" borderId="4" xfId="0" applyBorder="1" applyAlignment="1">
      <alignment horizontal="left"/>
    </xf>
    <xf numFmtId="0" fontId="31" fillId="0" borderId="0" xfId="0" applyFont="1"/>
    <xf numFmtId="0" fontId="0" fillId="0" borderId="7" xfId="0" applyBorder="1"/>
    <xf numFmtId="0" fontId="26" fillId="0" borderId="0" xfId="0" applyFont="1" applyAlignment="1">
      <alignment horizontal="right"/>
    </xf>
    <xf numFmtId="0" fontId="21" fillId="0" borderId="0" xfId="0" applyFont="1"/>
    <xf numFmtId="14" fontId="29" fillId="8" borderId="1" xfId="0" applyNumberFormat="1" applyFont="1" applyFill="1" applyBorder="1" applyProtection="1">
      <protection locked="0"/>
    </xf>
    <xf numFmtId="14" fontId="0" fillId="8" borderId="1" xfId="0" applyNumberFormat="1" applyFill="1" applyBorder="1" applyAlignment="1" applyProtection="1">
      <alignment wrapText="1"/>
      <protection locked="0"/>
    </xf>
    <xf numFmtId="0" fontId="32" fillId="0" borderId="0" xfId="0" applyFont="1"/>
    <xf numFmtId="0" fontId="33" fillId="0" borderId="0" xfId="0" applyFont="1"/>
    <xf numFmtId="0" fontId="34" fillId="0" borderId="0" xfId="0" applyFont="1"/>
    <xf numFmtId="0" fontId="0" fillId="0" borderId="4" xfId="0" applyBorder="1" applyAlignment="1">
      <alignment horizontal="left" vertical="top"/>
    </xf>
    <xf numFmtId="0" fontId="30" fillId="0" borderId="4" xfId="0" applyFont="1" applyBorder="1" applyAlignment="1">
      <alignment horizontal="right" vertical="center"/>
    </xf>
    <xf numFmtId="0" fontId="0" fillId="0" borderId="2" xfId="0" applyBorder="1" applyAlignment="1">
      <alignment horizontal="left" vertical="center" indent="2"/>
    </xf>
    <xf numFmtId="0" fontId="0" fillId="6" borderId="2" xfId="0" applyFill="1" applyBorder="1" applyAlignment="1">
      <alignment horizontal="left" vertical="center" indent="2"/>
    </xf>
    <xf numFmtId="0" fontId="0" fillId="0" borderId="4" xfId="0" applyBorder="1" applyAlignment="1">
      <alignment horizontal="right" vertical="center"/>
    </xf>
    <xf numFmtId="0" fontId="18" fillId="3" borderId="14" xfId="0" applyFont="1" applyFill="1" applyBorder="1" applyAlignment="1">
      <alignment vertical="center"/>
    </xf>
    <xf numFmtId="0" fontId="18" fillId="3" borderId="12" xfId="0" applyFont="1" applyFill="1" applyBorder="1" applyAlignment="1">
      <alignment vertical="center"/>
    </xf>
    <xf numFmtId="0" fontId="18" fillId="3" borderId="16" xfId="0" applyFont="1" applyFill="1" applyBorder="1" applyAlignment="1">
      <alignment vertical="center"/>
    </xf>
    <xf numFmtId="0" fontId="20" fillId="0" borderId="0" xfId="0" applyFont="1"/>
    <xf numFmtId="0" fontId="0" fillId="2" borderId="14" xfId="0" applyFill="1" applyBorder="1"/>
    <xf numFmtId="0" fontId="0" fillId="2" borderId="12" xfId="0" applyFill="1" applyBorder="1"/>
    <xf numFmtId="0" fontId="0" fillId="2" borderId="16" xfId="0" applyFill="1" applyBorder="1"/>
    <xf numFmtId="0" fontId="5" fillId="0" borderId="0" xfId="1"/>
    <xf numFmtId="0" fontId="0" fillId="2" borderId="0" xfId="0" applyFill="1" applyAlignment="1" applyProtection="1">
      <alignment horizontal="left" vertical="center"/>
      <protection locked="0"/>
    </xf>
    <xf numFmtId="0" fontId="5" fillId="2" borderId="5" xfId="1" applyFill="1" applyBorder="1" applyAlignment="1" applyProtection="1">
      <alignment horizontal="center" vertical="center" wrapText="1"/>
      <protection locked="0"/>
    </xf>
    <xf numFmtId="0" fontId="5" fillId="2" borderId="15" xfId="1" applyFill="1" applyBorder="1" applyAlignment="1" applyProtection="1">
      <alignment vertical="center"/>
      <protection locked="0"/>
    </xf>
    <xf numFmtId="0" fontId="23" fillId="0" borderId="0" xfId="0" applyFont="1" applyProtection="1">
      <protection locked="0"/>
    </xf>
    <xf numFmtId="0" fontId="37" fillId="0" borderId="0" xfId="0" applyFont="1"/>
    <xf numFmtId="0" fontId="25" fillId="0" borderId="0" xfId="0" applyFont="1" applyAlignment="1">
      <alignment horizontal="left" vertical="center"/>
    </xf>
    <xf numFmtId="0" fontId="25" fillId="0" borderId="0" xfId="0" applyFont="1" applyAlignment="1">
      <alignment vertical="center"/>
    </xf>
    <xf numFmtId="0" fontId="25" fillId="0" borderId="0" xfId="0" applyFont="1" applyProtection="1">
      <protection locked="0"/>
    </xf>
    <xf numFmtId="0" fontId="0" fillId="0" borderId="15" xfId="0" applyBorder="1" applyAlignment="1">
      <alignment horizontal="right" vertical="center"/>
    </xf>
    <xf numFmtId="0" fontId="25" fillId="0" borderId="0" xfId="0" applyFont="1" applyAlignment="1">
      <alignment horizontal="center" vertical="center"/>
    </xf>
    <xf numFmtId="0" fontId="20" fillId="0" borderId="0" xfId="0" applyFont="1" applyAlignment="1">
      <alignment horizontal="center" vertical="center"/>
    </xf>
    <xf numFmtId="0" fontId="0" fillId="0" borderId="0" xfId="0" applyAlignment="1" applyProtection="1">
      <alignment vertical="center"/>
      <protection locked="0"/>
    </xf>
    <xf numFmtId="0" fontId="0" fillId="6" borderId="0" xfId="0" applyFill="1" applyProtection="1">
      <protection locked="0"/>
    </xf>
    <xf numFmtId="0" fontId="38" fillId="0" borderId="0" xfId="0" applyFont="1" applyAlignment="1">
      <alignment horizontal="center" vertical="center"/>
    </xf>
    <xf numFmtId="0" fontId="38" fillId="0" borderId="0" xfId="0" applyFont="1" applyAlignment="1" applyProtection="1">
      <alignment horizontal="center" vertical="center"/>
      <protection locked="0"/>
    </xf>
    <xf numFmtId="0" fontId="6" fillId="0" borderId="0" xfId="0" applyFont="1" applyAlignment="1">
      <alignment vertical="center" wrapText="1"/>
    </xf>
    <xf numFmtId="1" fontId="21" fillId="0" borderId="0" xfId="0" applyNumberFormat="1" applyFont="1"/>
    <xf numFmtId="0" fontId="25" fillId="6" borderId="0" xfId="0" applyFont="1" applyFill="1"/>
    <xf numFmtId="1" fontId="21" fillId="0" borderId="0" xfId="0" applyNumberFormat="1" applyFont="1" applyProtection="1">
      <protection locked="0"/>
    </xf>
    <xf numFmtId="0" fontId="38" fillId="0" borderId="0" xfId="0" applyFont="1"/>
    <xf numFmtId="0" fontId="26" fillId="0" borderId="0" xfId="0" applyFont="1" applyAlignment="1">
      <alignment vertical="center" wrapText="1"/>
    </xf>
    <xf numFmtId="0" fontId="0" fillId="2" borderId="5" xfId="0" applyFill="1" applyBorder="1" applyAlignment="1" applyProtection="1">
      <alignment vertical="center" wrapText="1"/>
      <protection locked="0"/>
    </xf>
    <xf numFmtId="0" fontId="0" fillId="2" borderId="7" xfId="0" applyFill="1" applyBorder="1" applyAlignment="1" applyProtection="1">
      <alignment vertical="center" wrapText="1"/>
      <protection locked="0"/>
    </xf>
    <xf numFmtId="0" fontId="25" fillId="0" borderId="0" xfId="0" applyFont="1" applyAlignment="1">
      <alignment wrapText="1"/>
    </xf>
    <xf numFmtId="0" fontId="43" fillId="0" borderId="0" xfId="0" applyFont="1" applyAlignment="1" applyProtection="1">
      <alignment horizontal="center"/>
      <protection locked="0"/>
    </xf>
    <xf numFmtId="0" fontId="2" fillId="6" borderId="2" xfId="0" applyFont="1" applyFill="1" applyBorder="1" applyAlignment="1">
      <alignment horizontal="left" vertical="center"/>
    </xf>
    <xf numFmtId="0" fontId="31" fillId="0" borderId="0" xfId="0" applyFont="1" applyAlignment="1">
      <alignment horizontal="right"/>
    </xf>
    <xf numFmtId="0" fontId="26" fillId="6" borderId="0" xfId="0" applyFont="1" applyFill="1" applyAlignment="1">
      <alignment vertical="center" wrapText="1"/>
    </xf>
    <xf numFmtId="0" fontId="40" fillId="0" borderId="0" xfId="0" applyFont="1" applyAlignment="1">
      <alignment wrapText="1"/>
    </xf>
    <xf numFmtId="0" fontId="2" fillId="0" borderId="2" xfId="0" applyFont="1" applyBorder="1" applyAlignment="1">
      <alignment horizontal="left" vertical="center"/>
    </xf>
    <xf numFmtId="0" fontId="2" fillId="0" borderId="5" xfId="0" applyFont="1" applyBorder="1" applyAlignment="1">
      <alignment vertical="center"/>
    </xf>
    <xf numFmtId="0" fontId="22" fillId="0" borderId="2" xfId="0" applyFont="1" applyBorder="1" applyAlignment="1">
      <alignment horizontal="left" vertical="center"/>
    </xf>
    <xf numFmtId="0" fontId="23" fillId="6" borderId="2" xfId="0" applyFont="1" applyFill="1" applyBorder="1" applyAlignment="1">
      <alignment vertical="center"/>
    </xf>
    <xf numFmtId="0" fontId="22" fillId="6" borderId="2" xfId="0" applyFont="1" applyFill="1" applyBorder="1" applyAlignment="1">
      <alignment vertical="center"/>
    </xf>
    <xf numFmtId="0" fontId="22" fillId="0" borderId="2" xfId="0" applyFont="1" applyBorder="1" applyAlignment="1">
      <alignment vertical="center"/>
    </xf>
    <xf numFmtId="0" fontId="0" fillId="2" borderId="1" xfId="0" applyFill="1" applyBorder="1" applyAlignment="1" applyProtection="1">
      <alignment horizontal="center"/>
      <protection locked="0"/>
    </xf>
    <xf numFmtId="0" fontId="2" fillId="2" borderId="1" xfId="0" applyFont="1" applyFill="1" applyBorder="1" applyAlignment="1" applyProtection="1">
      <alignment horizontal="left" vertical="center"/>
      <protection locked="0"/>
    </xf>
    <xf numFmtId="0" fontId="42" fillId="13" borderId="1" xfId="0" applyFont="1" applyFill="1" applyBorder="1" applyAlignment="1" applyProtection="1">
      <alignment horizontal="center" vertical="center" wrapText="1"/>
      <protection locked="0"/>
    </xf>
    <xf numFmtId="0" fontId="43" fillId="13" borderId="1" xfId="0" applyFont="1" applyFill="1" applyBorder="1" applyAlignment="1" applyProtection="1">
      <alignment horizontal="center" vertical="center" wrapText="1"/>
      <protection locked="0"/>
    </xf>
    <xf numFmtId="0" fontId="41" fillId="2" borderId="1" xfId="0" applyFont="1" applyFill="1" applyBorder="1" applyAlignment="1" applyProtection="1">
      <alignment horizontal="center" vertical="center" wrapText="1"/>
      <protection locked="0"/>
    </xf>
    <xf numFmtId="0" fontId="25" fillId="6" borderId="0" xfId="0" applyFont="1" applyFill="1" applyAlignment="1">
      <alignment horizontal="center" vertical="center"/>
    </xf>
    <xf numFmtId="0" fontId="47" fillId="0" borderId="0" xfId="0" applyFont="1" applyAlignment="1">
      <alignment wrapText="1"/>
    </xf>
    <xf numFmtId="0" fontId="48" fillId="0" borderId="0" xfId="0" applyFont="1" applyAlignment="1">
      <alignment wrapText="1"/>
    </xf>
    <xf numFmtId="0" fontId="48" fillId="0" borderId="0" xfId="0" applyFont="1" applyAlignment="1" applyProtection="1">
      <alignment horizontal="center" vertical="center"/>
      <protection locked="0"/>
    </xf>
    <xf numFmtId="0" fontId="48" fillId="0" borderId="0" xfId="0" applyFont="1"/>
    <xf numFmtId="0" fontId="25" fillId="0" borderId="0" xfId="0" applyFont="1" applyAlignment="1" applyProtection="1">
      <alignment wrapText="1"/>
      <protection locked="0"/>
    </xf>
    <xf numFmtId="0" fontId="27" fillId="6"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horizontal="center" wrapText="1"/>
    </xf>
    <xf numFmtId="0" fontId="4" fillId="0" borderId="0" xfId="0" applyFont="1" applyAlignment="1">
      <alignment wrapText="1"/>
    </xf>
    <xf numFmtId="0" fontId="48" fillId="0" borderId="0" xfId="0" applyFont="1" applyProtection="1">
      <protection locked="0"/>
    </xf>
    <xf numFmtId="1" fontId="4" fillId="0" borderId="0" xfId="0" applyNumberFormat="1" applyFont="1" applyProtection="1">
      <protection locked="0"/>
    </xf>
    <xf numFmtId="0" fontId="25" fillId="0" borderId="0" xfId="0" applyFont="1" applyAlignment="1" applyProtection="1">
      <alignment horizontal="center"/>
      <protection locked="0"/>
    </xf>
    <xf numFmtId="0" fontId="48" fillId="6" borderId="0" xfId="0" applyFont="1" applyFill="1" applyAlignment="1">
      <alignment vertical="center"/>
    </xf>
    <xf numFmtId="0" fontId="48" fillId="6" borderId="0" xfId="0" applyFont="1" applyFill="1" applyAlignment="1">
      <alignment vertical="center" wrapText="1"/>
    </xf>
    <xf numFmtId="1" fontId="4" fillId="0" borderId="0" xfId="0" applyNumberFormat="1" applyFont="1"/>
    <xf numFmtId="0" fontId="48" fillId="0" borderId="0" xfId="0" applyFont="1" applyAlignment="1">
      <alignment vertical="center"/>
    </xf>
    <xf numFmtId="0" fontId="48" fillId="0" borderId="0" xfId="0" applyFont="1" applyAlignment="1">
      <alignment vertical="center" wrapText="1"/>
    </xf>
    <xf numFmtId="0" fontId="48" fillId="0" borderId="0" xfId="0" applyFont="1" applyAlignment="1">
      <alignment horizontal="center" vertical="center" wrapText="1"/>
    </xf>
    <xf numFmtId="0" fontId="48" fillId="0" borderId="0" xfId="0" applyFont="1" applyAlignment="1">
      <alignment horizontal="center" vertical="center"/>
    </xf>
    <xf numFmtId="0" fontId="48" fillId="0" borderId="0" xfId="0" applyFont="1" applyAlignment="1" applyProtection="1">
      <alignment wrapText="1"/>
      <protection locked="0"/>
    </xf>
    <xf numFmtId="1" fontId="48" fillId="0" borderId="0" xfId="0" applyNumberFormat="1" applyFont="1" applyAlignment="1">
      <alignment wrapText="1"/>
    </xf>
    <xf numFmtId="0" fontId="48" fillId="0" borderId="0" xfId="0" applyFont="1" applyAlignment="1" applyProtection="1">
      <alignment horizontal="center" wrapText="1"/>
      <protection locked="0"/>
    </xf>
    <xf numFmtId="0" fontId="48" fillId="0" borderId="0" xfId="0" applyFont="1" applyAlignment="1" applyProtection="1">
      <alignment horizontal="center"/>
      <protection locked="0"/>
    </xf>
    <xf numFmtId="0" fontId="48" fillId="0" borderId="0" xfId="0" applyFont="1" applyAlignment="1">
      <alignment horizontal="center"/>
    </xf>
    <xf numFmtId="0" fontId="21" fillId="0" borderId="0" xfId="0" applyFont="1" applyAlignment="1">
      <alignment horizontal="center" vertical="center"/>
    </xf>
    <xf numFmtId="0" fontId="48" fillId="6" borderId="0" xfId="0" applyFont="1" applyFill="1" applyAlignment="1">
      <alignment horizontal="center" wrapText="1"/>
    </xf>
    <xf numFmtId="0" fontId="48" fillId="0" borderId="0" xfId="0" applyFont="1" applyAlignment="1">
      <alignment horizontal="center" wrapText="1"/>
    </xf>
    <xf numFmtId="0" fontId="42" fillId="13" borderId="1" xfId="0" applyFont="1" applyFill="1" applyBorder="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lignment vertical="center" wrapText="1"/>
    </xf>
    <xf numFmtId="0" fontId="26" fillId="0" borderId="0" xfId="0" applyFont="1" applyAlignment="1">
      <alignment horizontal="right" vertical="center" wrapText="1"/>
    </xf>
    <xf numFmtId="0" fontId="31" fillId="0" borderId="0" xfId="0" applyFont="1" applyAlignment="1">
      <alignment horizontal="center" vertical="center"/>
    </xf>
    <xf numFmtId="0" fontId="23" fillId="0" borderId="2" xfId="0" applyFont="1" applyBorder="1" applyAlignment="1">
      <alignment horizontal="left" vertical="center"/>
    </xf>
    <xf numFmtId="0" fontId="0" fillId="0" borderId="4" xfId="0" applyBorder="1" applyAlignment="1">
      <alignment horizontal="left" vertical="center"/>
    </xf>
    <xf numFmtId="0" fontId="0" fillId="0" borderId="0" xfId="0" applyAlignment="1">
      <alignment horizontal="right"/>
    </xf>
    <xf numFmtId="0" fontId="0" fillId="0" borderId="0" xfId="0" applyAlignment="1">
      <alignment vertical="center" wrapText="1"/>
    </xf>
    <xf numFmtId="0" fontId="0" fillId="0" borderId="0" xfId="0" applyAlignment="1">
      <alignment horizontal="right" vertical="center"/>
    </xf>
    <xf numFmtId="0" fontId="23" fillId="0" borderId="4" xfId="0" applyFont="1" applyBorder="1" applyAlignment="1">
      <alignment horizontal="right" vertical="center"/>
    </xf>
    <xf numFmtId="0" fontId="0" fillId="0" borderId="2" xfId="0" applyBorder="1" applyAlignment="1">
      <alignment horizontal="left" vertical="center"/>
    </xf>
    <xf numFmtId="0" fontId="52" fillId="0" borderId="0" xfId="0" applyFont="1" applyAlignment="1">
      <alignment wrapText="1"/>
    </xf>
    <xf numFmtId="0" fontId="44" fillId="17" borderId="1" xfId="0" applyFont="1" applyFill="1" applyBorder="1" applyAlignment="1">
      <alignment horizontal="center" vertical="center" wrapText="1"/>
    </xf>
    <xf numFmtId="0" fontId="2" fillId="18" borderId="2" xfId="0" applyFont="1" applyFill="1" applyBorder="1"/>
    <xf numFmtId="0" fontId="30" fillId="18" borderId="3" xfId="0" applyFont="1" applyFill="1" applyBorder="1" applyAlignment="1">
      <alignment horizontal="right"/>
    </xf>
    <xf numFmtId="0" fontId="30" fillId="18" borderId="3" xfId="0" applyFont="1" applyFill="1" applyBorder="1"/>
    <xf numFmtId="0" fontId="30" fillId="18" borderId="4" xfId="0" applyFont="1" applyFill="1" applyBorder="1"/>
    <xf numFmtId="0" fontId="0" fillId="19" borderId="1" xfId="0" applyFill="1" applyBorder="1" applyAlignment="1">
      <alignment horizontal="right" vertical="center"/>
    </xf>
    <xf numFmtId="0" fontId="0" fillId="19" borderId="2" xfId="0" applyFill="1" applyBorder="1" applyAlignment="1">
      <alignment horizontal="right" vertical="center"/>
    </xf>
    <xf numFmtId="0" fontId="3" fillId="2" borderId="10" xfId="0" applyFont="1" applyFill="1" applyBorder="1" applyAlignment="1" applyProtection="1">
      <alignment horizontal="center"/>
      <protection locked="0"/>
    </xf>
    <xf numFmtId="0" fontId="56" fillId="0" borderId="0" xfId="0" applyFont="1"/>
    <xf numFmtId="0" fontId="0" fillId="0" borderId="8" xfId="0" applyBorder="1"/>
    <xf numFmtId="0" fontId="0" fillId="20" borderId="5" xfId="0" applyFill="1" applyBorder="1"/>
    <xf numFmtId="0" fontId="0" fillId="20" borderId="6" xfId="0" applyFill="1" applyBorder="1"/>
    <xf numFmtId="0" fontId="0" fillId="20" borderId="15" xfId="0" applyFill="1" applyBorder="1"/>
    <xf numFmtId="0" fontId="0" fillId="9" borderId="14" xfId="0" applyFill="1" applyBorder="1"/>
    <xf numFmtId="0" fontId="0" fillId="9" borderId="12" xfId="0" applyFill="1" applyBorder="1"/>
    <xf numFmtId="0" fontId="0" fillId="9" borderId="16" xfId="0" applyFill="1" applyBorder="1"/>
    <xf numFmtId="0" fontId="0" fillId="9" borderId="8" xfId="0" applyFill="1" applyBorder="1"/>
    <xf numFmtId="0" fontId="0" fillId="9" borderId="0" xfId="0" applyFill="1"/>
    <xf numFmtId="0" fontId="0" fillId="9" borderId="7" xfId="0" applyFill="1" applyBorder="1"/>
    <xf numFmtId="0" fontId="63" fillId="0" borderId="0" xfId="0" applyFont="1"/>
    <xf numFmtId="0" fontId="65" fillId="0" borderId="0" xfId="0" applyFont="1"/>
    <xf numFmtId="0" fontId="63" fillId="6" borderId="3" xfId="0" applyFont="1" applyFill="1" applyBorder="1" applyAlignment="1" applyProtection="1">
      <alignment horizontal="center" vertical="center"/>
      <protection locked="0"/>
    </xf>
    <xf numFmtId="0" fontId="63" fillId="6" borderId="3" xfId="0" applyFont="1" applyFill="1" applyBorder="1" applyAlignment="1" applyProtection="1">
      <alignment horizontal="center" vertical="center" wrapText="1"/>
      <protection locked="0"/>
    </xf>
    <xf numFmtId="0" fontId="70" fillId="0" borderId="0" xfId="0" applyFont="1" applyAlignment="1" applyProtection="1">
      <alignment horizontal="center" vertical="center"/>
      <protection locked="0"/>
    </xf>
    <xf numFmtId="0" fontId="63" fillId="0" borderId="0" xfId="0" applyFont="1" applyAlignment="1">
      <alignment vertical="center"/>
    </xf>
    <xf numFmtId="0" fontId="66" fillId="0" borderId="0" xfId="0" applyFont="1"/>
    <xf numFmtId="0" fontId="66" fillId="0" borderId="0" xfId="0" applyFont="1" applyAlignment="1">
      <alignment horizontal="center" vertical="center"/>
    </xf>
    <xf numFmtId="0" fontId="63" fillId="0" borderId="0" xfId="0" applyFont="1" applyAlignment="1">
      <alignment horizontal="right"/>
    </xf>
    <xf numFmtId="0" fontId="66" fillId="6" borderId="0" xfId="0" applyFont="1" applyFill="1"/>
    <xf numFmtId="0" fontId="63" fillId="0" borderId="0" xfId="0" applyFont="1" applyAlignment="1">
      <alignment horizontal="center"/>
    </xf>
    <xf numFmtId="0" fontId="70" fillId="0" borderId="0" xfId="0" applyFont="1" applyAlignment="1">
      <alignment vertical="center"/>
    </xf>
    <xf numFmtId="0" fontId="71" fillId="6" borderId="0" xfId="0" applyFont="1" applyFill="1" applyAlignment="1">
      <alignment vertical="center" wrapText="1"/>
    </xf>
    <xf numFmtId="0" fontId="64" fillId="0" borderId="0" xfId="0" applyFont="1" applyAlignment="1">
      <alignment horizontal="center" vertical="center"/>
    </xf>
    <xf numFmtId="0" fontId="72" fillId="0" borderId="0" xfId="0" applyFont="1" applyAlignment="1" applyProtection="1">
      <alignment horizontal="center" vertical="center" wrapText="1"/>
      <protection locked="0"/>
    </xf>
    <xf numFmtId="1" fontId="72" fillId="0" borderId="0" xfId="0" applyNumberFormat="1" applyFont="1" applyAlignment="1" applyProtection="1">
      <alignment horizontal="center" vertical="center" wrapText="1"/>
      <protection locked="0"/>
    </xf>
    <xf numFmtId="0" fontId="72" fillId="0" borderId="0" xfId="0" applyFont="1" applyAlignment="1" applyProtection="1">
      <alignment horizontal="center" vertical="center"/>
      <protection locked="0"/>
    </xf>
    <xf numFmtId="0" fontId="73" fillId="0" borderId="0" xfId="0" applyFont="1" applyAlignment="1" applyProtection="1">
      <alignment horizontal="left" vertical="top" wrapText="1"/>
      <protection locked="0"/>
    </xf>
    <xf numFmtId="0" fontId="73" fillId="0" borderId="0" xfId="0" applyFont="1" applyAlignment="1" applyProtection="1">
      <alignment vertical="top" wrapText="1"/>
      <protection locked="0"/>
    </xf>
    <xf numFmtId="0" fontId="70" fillId="0" borderId="0" xfId="0" applyFont="1"/>
    <xf numFmtId="0" fontId="61" fillId="0" borderId="0" xfId="0" applyFont="1" applyAlignment="1">
      <alignment horizontal="center" vertical="center" wrapText="1"/>
    </xf>
    <xf numFmtId="0" fontId="0" fillId="5" borderId="0" xfId="0" applyFill="1"/>
    <xf numFmtId="0" fontId="81" fillId="24" borderId="8" xfId="0" applyFont="1" applyFill="1" applyBorder="1" applyAlignment="1">
      <alignment horizontal="left"/>
    </xf>
    <xf numFmtId="0" fontId="81" fillId="24" borderId="0" xfId="0" applyFont="1" applyFill="1"/>
    <xf numFmtId="0" fontId="81" fillId="24" borderId="0" xfId="0" applyFont="1" applyFill="1" applyAlignment="1">
      <alignment horizontal="center" vertical="center"/>
    </xf>
    <xf numFmtId="0" fontId="81" fillId="24" borderId="7" xfId="0" applyFont="1" applyFill="1" applyBorder="1"/>
    <xf numFmtId="0" fontId="82" fillId="5" borderId="5" xfId="0" applyFont="1" applyFill="1" applyBorder="1" applyAlignment="1">
      <alignment vertical="center"/>
    </xf>
    <xf numFmtId="0" fontId="82" fillId="5" borderId="6" xfId="1" applyFont="1" applyFill="1" applyBorder="1" applyAlignment="1" applyProtection="1">
      <alignment horizontal="center" vertical="center" wrapText="1"/>
      <protection locked="0"/>
    </xf>
    <xf numFmtId="0" fontId="85" fillId="26" borderId="1" xfId="0" applyFont="1" applyFill="1" applyBorder="1" applyAlignment="1" applyProtection="1">
      <alignment horizontal="center" vertical="center"/>
      <protection locked="0"/>
    </xf>
    <xf numFmtId="0" fontId="85" fillId="26" borderId="10" xfId="0" applyFont="1" applyFill="1" applyBorder="1" applyAlignment="1">
      <alignment horizontal="left" vertical="center" wrapText="1"/>
    </xf>
    <xf numFmtId="0" fontId="85" fillId="26" borderId="1" xfId="0" applyFont="1" applyFill="1" applyBorder="1" applyAlignment="1">
      <alignment horizontal="left" vertical="center" wrapText="1"/>
    </xf>
    <xf numFmtId="0" fontId="85" fillId="26" borderId="13" xfId="0" applyFont="1" applyFill="1" applyBorder="1" applyAlignment="1">
      <alignment horizontal="left" vertical="center" wrapText="1"/>
    </xf>
    <xf numFmtId="0" fontId="85" fillId="26" borderId="11" xfId="0" applyFont="1" applyFill="1" applyBorder="1" applyAlignment="1">
      <alignment horizontal="left" vertical="center" wrapText="1"/>
    </xf>
    <xf numFmtId="0" fontId="85" fillId="26" borderId="2" xfId="0" applyFont="1" applyFill="1" applyBorder="1" applyAlignment="1">
      <alignment horizontal="left" vertical="center" wrapText="1"/>
    </xf>
    <xf numFmtId="0" fontId="85" fillId="26" borderId="1" xfId="0" applyFont="1" applyFill="1" applyBorder="1" applyAlignment="1">
      <alignment vertical="center" wrapText="1"/>
    </xf>
    <xf numFmtId="0" fontId="85" fillId="26" borderId="1" xfId="0" applyFont="1" applyFill="1" applyBorder="1" applyAlignment="1">
      <alignment horizontal="left" vertical="center"/>
    </xf>
    <xf numFmtId="0" fontId="85" fillId="26" borderId="10" xfId="0" applyFont="1" applyFill="1" applyBorder="1" applyAlignment="1" applyProtection="1">
      <alignment horizontal="center" vertical="center"/>
      <protection locked="0"/>
    </xf>
    <xf numFmtId="0" fontId="87" fillId="26" borderId="1" xfId="0" applyFont="1" applyFill="1" applyBorder="1" applyAlignment="1" applyProtection="1">
      <alignment horizontal="center" vertical="center"/>
      <protection locked="0"/>
    </xf>
    <xf numFmtId="0" fontId="87" fillId="26" borderId="1" xfId="0" applyFont="1" applyFill="1" applyBorder="1" applyAlignment="1">
      <alignment horizontal="left" vertical="center" wrapText="1"/>
    </xf>
    <xf numFmtId="0" fontId="85" fillId="26" borderId="11" xfId="0" applyFont="1" applyFill="1" applyBorder="1" applyAlignment="1" applyProtection="1">
      <alignment horizontal="center" vertical="center"/>
      <protection locked="0"/>
    </xf>
    <xf numFmtId="0" fontId="85" fillId="26" borderId="11" xfId="0" applyFont="1" applyFill="1" applyBorder="1" applyAlignment="1">
      <alignment vertical="center" wrapText="1"/>
    </xf>
    <xf numFmtId="0" fontId="85" fillId="26" borderId="10" xfId="0" applyFont="1" applyFill="1" applyBorder="1" applyAlignment="1">
      <alignment vertical="center" wrapText="1"/>
    </xf>
    <xf numFmtId="0" fontId="85" fillId="26" borderId="4" xfId="0" applyFont="1" applyFill="1" applyBorder="1" applyAlignment="1" applyProtection="1">
      <alignment horizontal="center" vertical="center"/>
      <protection locked="0"/>
    </xf>
    <xf numFmtId="0" fontId="85" fillId="26" borderId="5" xfId="0" applyFont="1" applyFill="1" applyBorder="1" applyAlignment="1" applyProtection="1">
      <alignment horizontal="center" vertical="center"/>
      <protection locked="0"/>
    </xf>
    <xf numFmtId="0" fontId="91" fillId="0" borderId="1" xfId="0" applyFont="1" applyBorder="1" applyAlignment="1">
      <alignment horizontal="center" vertical="center" wrapText="1"/>
    </xf>
    <xf numFmtId="0" fontId="92" fillId="0" borderId="13" xfId="0" applyFont="1" applyBorder="1" applyAlignment="1">
      <alignment horizontal="center" vertical="center"/>
    </xf>
    <xf numFmtId="0" fontId="94" fillId="0" borderId="2" xfId="0" applyFont="1" applyBorder="1" applyAlignment="1">
      <alignment horizontal="center" vertical="center"/>
    </xf>
    <xf numFmtId="0" fontId="95" fillId="3" borderId="4" xfId="0" applyFont="1" applyFill="1" applyBorder="1" applyAlignment="1" applyProtection="1">
      <alignment horizontal="center" vertical="center"/>
      <protection locked="0"/>
    </xf>
    <xf numFmtId="0" fontId="95" fillId="26" borderId="1" xfId="0" applyFont="1" applyFill="1" applyBorder="1" applyAlignment="1" applyProtection="1">
      <alignment horizontal="center" vertical="center"/>
      <protection locked="0"/>
    </xf>
    <xf numFmtId="0" fontId="95" fillId="0" borderId="0" xfId="0" applyFont="1"/>
    <xf numFmtId="0" fontId="96" fillId="0" borderId="0" xfId="0" applyFont="1"/>
    <xf numFmtId="0" fontId="92" fillId="0" borderId="2" xfId="0" applyFont="1" applyBorder="1" applyAlignment="1">
      <alignment horizontal="center" vertical="center"/>
    </xf>
    <xf numFmtId="0" fontId="87" fillId="3" borderId="16" xfId="0" applyFont="1" applyFill="1" applyBorder="1" applyAlignment="1" applyProtection="1">
      <alignment horizontal="center" vertical="center"/>
      <protection locked="0"/>
    </xf>
    <xf numFmtId="0" fontId="87" fillId="26" borderId="10" xfId="0" applyFont="1" applyFill="1" applyBorder="1" applyAlignment="1">
      <alignment horizontal="left" vertical="center" wrapText="1"/>
    </xf>
    <xf numFmtId="0" fontId="87" fillId="0" borderId="0" xfId="0" applyFont="1"/>
    <xf numFmtId="0" fontId="86" fillId="0" borderId="5" xfId="0" applyFont="1" applyBorder="1" applyAlignment="1">
      <alignment horizontal="center" vertical="center"/>
    </xf>
    <xf numFmtId="0" fontId="85" fillId="3" borderId="1" xfId="0" applyFont="1" applyFill="1" applyBorder="1" applyAlignment="1" applyProtection="1">
      <alignment horizontal="center" vertical="center"/>
      <protection locked="0"/>
    </xf>
    <xf numFmtId="0" fontId="85" fillId="3" borderId="10" xfId="0" applyFont="1" applyFill="1" applyBorder="1" applyAlignment="1" applyProtection="1">
      <alignment horizontal="center" vertical="center"/>
      <protection locked="0"/>
    </xf>
    <xf numFmtId="0" fontId="86" fillId="0" borderId="14" xfId="0" applyFont="1" applyBorder="1" applyAlignment="1">
      <alignment horizontal="center" vertical="center"/>
    </xf>
    <xf numFmtId="0" fontId="85" fillId="3" borderId="16" xfId="0" applyFont="1" applyFill="1" applyBorder="1" applyAlignment="1" applyProtection="1">
      <alignment horizontal="center" vertical="center"/>
      <protection locked="0"/>
    </xf>
    <xf numFmtId="0" fontId="85" fillId="3" borderId="1" xfId="0" applyFont="1" applyFill="1" applyBorder="1" applyAlignment="1">
      <alignment horizontal="center" vertical="center"/>
    </xf>
    <xf numFmtId="0" fontId="86" fillId="0" borderId="8" xfId="0" applyFont="1" applyBorder="1" applyAlignment="1">
      <alignment horizontal="center" vertical="center"/>
    </xf>
    <xf numFmtId="0" fontId="85" fillId="3" borderId="4" xfId="0" applyFont="1" applyFill="1" applyBorder="1" applyAlignment="1" applyProtection="1">
      <alignment horizontal="center" vertical="center"/>
      <protection locked="0"/>
    </xf>
    <xf numFmtId="0" fontId="85" fillId="3" borderId="15" xfId="0" applyFont="1" applyFill="1" applyBorder="1" applyAlignment="1" applyProtection="1">
      <alignment horizontal="center" vertical="center"/>
      <protection locked="0"/>
    </xf>
    <xf numFmtId="0" fontId="85" fillId="3" borderId="14" xfId="0" applyFont="1" applyFill="1" applyBorder="1" applyAlignment="1" applyProtection="1">
      <alignment horizontal="center" vertical="center"/>
      <protection locked="0"/>
    </xf>
    <xf numFmtId="0" fontId="86" fillId="0" borderId="2" xfId="0" applyFont="1" applyBorder="1" applyAlignment="1">
      <alignment horizontal="center" vertical="center"/>
    </xf>
    <xf numFmtId="0" fontId="86" fillId="3" borderId="1" xfId="0" applyFont="1" applyFill="1" applyBorder="1" applyAlignment="1" applyProtection="1">
      <alignment horizontal="center" vertical="center" wrapText="1"/>
      <protection locked="0"/>
    </xf>
    <xf numFmtId="0" fontId="85" fillId="3" borderId="1" xfId="0" applyFont="1" applyFill="1" applyBorder="1" applyAlignment="1" applyProtection="1">
      <alignment horizontal="center" vertical="center" wrapText="1"/>
      <protection locked="0"/>
    </xf>
    <xf numFmtId="0" fontId="94" fillId="0" borderId="0" xfId="0" applyFont="1" applyAlignment="1">
      <alignment vertical="center" wrapText="1"/>
    </xf>
    <xf numFmtId="0" fontId="101" fillId="0" borderId="0" xfId="0" applyFont="1" applyAlignment="1">
      <alignment horizontal="right" vertical="center" wrapText="1"/>
    </xf>
    <xf numFmtId="0" fontId="94" fillId="0" borderId="0" xfId="0" applyFont="1" applyAlignment="1" applyProtection="1">
      <alignment horizontal="center" vertical="center" wrapText="1"/>
      <protection locked="0"/>
    </xf>
    <xf numFmtId="0" fontId="98" fillId="0" borderId="1" xfId="0" applyFont="1" applyBorder="1" applyAlignment="1" applyProtection="1">
      <alignment horizontal="center" vertical="center" wrapText="1"/>
      <protection locked="0"/>
    </xf>
    <xf numFmtId="0" fontId="94" fillId="6" borderId="0" xfId="0" applyFont="1" applyFill="1"/>
    <xf numFmtId="0" fontId="94" fillId="6" borderId="8" xfId="0" applyFont="1" applyFill="1" applyBorder="1" applyAlignment="1">
      <alignment vertical="center" wrapText="1"/>
    </xf>
    <xf numFmtId="0" fontId="104" fillId="6" borderId="0" xfId="0" applyFont="1" applyFill="1"/>
    <xf numFmtId="0" fontId="101" fillId="6" borderId="0" xfId="0" applyFont="1" applyFill="1" applyAlignment="1" applyProtection="1">
      <alignment horizontal="center" vertical="center"/>
      <protection locked="0"/>
    </xf>
    <xf numFmtId="0" fontId="94" fillId="6" borderId="1" xfId="0" applyFont="1" applyFill="1" applyBorder="1" applyAlignment="1">
      <alignment horizontal="center" vertical="center"/>
    </xf>
    <xf numFmtId="0" fontId="101" fillId="6" borderId="0" xfId="0" applyFont="1" applyFill="1" applyAlignment="1">
      <alignment horizontal="center"/>
    </xf>
    <xf numFmtId="0" fontId="95" fillId="6" borderId="0" xfId="0" applyFont="1" applyFill="1"/>
    <xf numFmtId="0" fontId="95" fillId="26" borderId="1" xfId="0" applyFont="1" applyFill="1" applyBorder="1" applyAlignment="1">
      <alignment horizontal="center" vertical="center" wrapText="1"/>
    </xf>
    <xf numFmtId="165" fontId="101" fillId="3" borderId="4" xfId="0" applyNumberFormat="1" applyFont="1" applyFill="1" applyBorder="1" applyAlignment="1" applyProtection="1">
      <alignment horizontal="left" vertical="center"/>
      <protection locked="0"/>
    </xf>
    <xf numFmtId="0" fontId="86" fillId="22" borderId="0" xfId="0" applyFont="1" applyFill="1" applyAlignment="1">
      <alignment horizontal="center" vertical="center"/>
    </xf>
    <xf numFmtId="0" fontId="95" fillId="0" borderId="0" xfId="0" quotePrefix="1" applyFont="1"/>
    <xf numFmtId="0" fontId="104" fillId="3" borderId="1" xfId="0" applyFont="1" applyFill="1" applyBorder="1" applyAlignment="1" applyProtection="1">
      <alignment horizontal="center" vertical="center"/>
      <protection locked="0"/>
    </xf>
    <xf numFmtId="0" fontId="110" fillId="0" borderId="0" xfId="1" applyFont="1" applyProtection="1"/>
    <xf numFmtId="0" fontId="103" fillId="0" borderId="0" xfId="0" applyFont="1"/>
    <xf numFmtId="0" fontId="95" fillId="0" borderId="0" xfId="0" applyFont="1" applyAlignment="1">
      <alignment horizontal="left" vertical="center"/>
    </xf>
    <xf numFmtId="0" fontId="94" fillId="3" borderId="1" xfId="0" applyFont="1" applyFill="1" applyBorder="1" applyAlignment="1" applyProtection="1">
      <alignment horizontal="left" vertical="center"/>
      <protection locked="0"/>
    </xf>
    <xf numFmtId="0" fontId="95" fillId="0" borderId="0" xfId="0" applyFont="1" applyAlignment="1">
      <alignment horizontal="left"/>
    </xf>
    <xf numFmtId="0" fontId="109" fillId="0" borderId="0" xfId="0" applyFont="1" applyAlignment="1">
      <alignment horizontal="right" vertical="center" wrapText="1" indent="1"/>
    </xf>
    <xf numFmtId="0" fontId="95" fillId="0" borderId="0" xfId="0" applyFont="1" applyAlignment="1">
      <alignment horizontal="right" indent="1"/>
    </xf>
    <xf numFmtId="0" fontId="111" fillId="0" borderId="0" xfId="0" applyFont="1" applyAlignment="1">
      <alignment horizontal="left" vertical="center"/>
    </xf>
    <xf numFmtId="0" fontId="9" fillId="3" borderId="1" xfId="0" applyFont="1" applyFill="1" applyBorder="1" applyAlignment="1">
      <alignment horizontal="left" vertical="center" wrapText="1" indent="1"/>
    </xf>
    <xf numFmtId="0" fontId="87" fillId="2" borderId="1" xfId="0" applyFont="1" applyFill="1" applyBorder="1" applyAlignment="1">
      <alignment horizontal="center" vertical="center"/>
    </xf>
    <xf numFmtId="0" fontId="88" fillId="0" borderId="0" xfId="0" applyFont="1" applyAlignment="1">
      <alignment horizontal="left" vertical="center"/>
    </xf>
    <xf numFmtId="0" fontId="5" fillId="2" borderId="1" xfId="1" applyFill="1" applyBorder="1" applyAlignment="1" applyProtection="1">
      <alignment horizontal="left" vertical="center" wrapText="1"/>
      <protection locked="0"/>
    </xf>
    <xf numFmtId="0" fontId="20" fillId="0" borderId="0" xfId="0" applyFont="1" applyAlignment="1">
      <alignment vertical="center"/>
    </xf>
    <xf numFmtId="0" fontId="92" fillId="0" borderId="1" xfId="0" applyFont="1" applyBorder="1" applyAlignment="1">
      <alignment horizontal="center" vertical="center"/>
    </xf>
    <xf numFmtId="0" fontId="87" fillId="3" borderId="1" xfId="0" applyFont="1" applyFill="1" applyBorder="1" applyAlignment="1" applyProtection="1">
      <alignment horizontal="center" vertical="center"/>
      <protection locked="0"/>
    </xf>
    <xf numFmtId="0" fontId="63" fillId="0" borderId="0" xfId="0" quotePrefix="1" applyFont="1"/>
    <xf numFmtId="0" fontId="70" fillId="2" borderId="1" xfId="0" quotePrefix="1" applyFont="1" applyFill="1" applyBorder="1" applyAlignment="1">
      <alignment horizontal="center" vertical="center"/>
    </xf>
    <xf numFmtId="0" fontId="95" fillId="0" borderId="0" xfId="0" applyFont="1" applyAlignment="1" applyProtection="1">
      <alignment horizontal="center" vertical="center" wrapText="1"/>
      <protection locked="0"/>
    </xf>
    <xf numFmtId="0" fontId="70" fillId="0" borderId="0" xfId="0" quotePrefix="1"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right" vertical="center" wrapText="1"/>
    </xf>
    <xf numFmtId="0" fontId="2" fillId="0" borderId="0" xfId="0" applyFont="1" applyAlignment="1">
      <alignment horizontal="center" vertical="center" wrapText="1"/>
    </xf>
    <xf numFmtId="0" fontId="85" fillId="26" borderId="13" xfId="0" applyFont="1" applyFill="1" applyBorder="1" applyAlignment="1" applyProtection="1">
      <alignment horizontal="center" vertical="center"/>
      <protection locked="0"/>
    </xf>
    <xf numFmtId="0" fontId="20" fillId="0" borderId="0" xfId="0" applyFont="1" applyAlignment="1">
      <alignment horizontal="left" vertical="center"/>
    </xf>
    <xf numFmtId="0" fontId="20" fillId="0" borderId="0" xfId="0" quotePrefix="1" applyFont="1"/>
    <xf numFmtId="0" fontId="33" fillId="0" borderId="0" xfId="0" applyFont="1" applyAlignment="1">
      <alignment horizontal="right" vertical="center" wrapText="1"/>
    </xf>
    <xf numFmtId="0" fontId="98" fillId="0" borderId="11" xfId="0" applyFont="1" applyBorder="1" applyAlignment="1">
      <alignment horizontal="center" vertical="center"/>
    </xf>
    <xf numFmtId="0" fontId="85" fillId="3" borderId="0" xfId="0" applyFont="1" applyFill="1" applyAlignment="1" applyProtection="1">
      <alignment horizontal="center" vertical="center"/>
      <protection locked="0"/>
    </xf>
    <xf numFmtId="0" fontId="85" fillId="26" borderId="0" xfId="0" applyFont="1" applyFill="1" applyAlignment="1" applyProtection="1">
      <alignment horizontal="center" vertical="center"/>
      <protection locked="0"/>
    </xf>
    <xf numFmtId="0" fontId="85" fillId="26" borderId="0" xfId="0" applyFont="1" applyFill="1" applyAlignment="1">
      <alignment horizontal="left" vertical="center" wrapText="1"/>
    </xf>
    <xf numFmtId="0" fontId="25" fillId="0" borderId="0" xfId="0" applyFont="1" applyAlignment="1">
      <alignment horizontal="left" vertical="center" wrapText="1"/>
    </xf>
    <xf numFmtId="0" fontId="66" fillId="3" borderId="10" xfId="0" applyFont="1" applyFill="1" applyBorder="1" applyAlignment="1" applyProtection="1">
      <alignment horizontal="center" vertical="center" wrapText="1"/>
      <protection locked="0"/>
    </xf>
    <xf numFmtId="0" fontId="66" fillId="26" borderId="10" xfId="0" applyFont="1" applyFill="1" applyBorder="1" applyAlignment="1" applyProtection="1">
      <alignment horizontal="center" vertical="center" wrapText="1"/>
      <protection locked="0"/>
    </xf>
    <xf numFmtId="0" fontId="86" fillId="0" borderId="0" xfId="0" applyFont="1" applyAlignment="1">
      <alignment horizontal="center" vertical="center"/>
    </xf>
    <xf numFmtId="0" fontId="85" fillId="26" borderId="15" xfId="0" applyFont="1" applyFill="1" applyBorder="1" applyAlignment="1" applyProtection="1">
      <alignment horizontal="center" vertical="center"/>
      <protection locked="0"/>
    </xf>
    <xf numFmtId="0" fontId="22" fillId="0" borderId="1" xfId="0" applyFont="1" applyBorder="1" applyAlignment="1">
      <alignment horizontal="center" vertical="center"/>
    </xf>
    <xf numFmtId="0" fontId="68" fillId="0" borderId="0" xfId="0" applyFont="1" applyAlignment="1">
      <alignment horizontal="center" vertical="center"/>
    </xf>
    <xf numFmtId="0" fontId="86" fillId="0" borderId="1" xfId="0" applyFont="1" applyBorder="1" applyAlignment="1">
      <alignment horizontal="center" vertical="center"/>
    </xf>
    <xf numFmtId="0" fontId="63" fillId="0" borderId="0" xfId="0" applyFont="1" applyAlignment="1">
      <alignment horizontal="left" vertical="center"/>
    </xf>
    <xf numFmtId="0" fontId="65" fillId="0" borderId="0" xfId="0" applyFont="1" applyAlignment="1">
      <alignment horizontal="left" vertical="center"/>
    </xf>
    <xf numFmtId="0" fontId="37" fillId="0" borderId="0" xfId="0" applyFont="1" applyAlignment="1">
      <alignment horizontal="left" vertical="center"/>
    </xf>
    <xf numFmtId="0" fontId="48" fillId="0" borderId="0" xfId="0" applyFont="1" applyAlignment="1">
      <alignment horizontal="left" vertical="center" wrapText="1"/>
    </xf>
    <xf numFmtId="0" fontId="95" fillId="26" borderId="10" xfId="0" applyFont="1" applyFill="1" applyBorder="1" applyAlignment="1" applyProtection="1">
      <alignment horizontal="center" vertical="center"/>
      <protection locked="0"/>
    </xf>
    <xf numFmtId="0" fontId="85" fillId="3" borderId="10" xfId="0" applyFont="1" applyFill="1" applyBorder="1" applyAlignment="1">
      <alignment horizontal="center" vertical="center"/>
    </xf>
    <xf numFmtId="0" fontId="115" fillId="0" borderId="0" xfId="0" applyFont="1"/>
    <xf numFmtId="0" fontId="87" fillId="26" borderId="10" xfId="0" applyFont="1" applyFill="1" applyBorder="1" applyAlignment="1" applyProtection="1">
      <alignment horizontal="center" vertical="center"/>
      <protection locked="0"/>
    </xf>
    <xf numFmtId="0" fontId="23" fillId="3" borderId="10"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85" fillId="3" borderId="11" xfId="0" applyFont="1" applyFill="1" applyBorder="1" applyAlignment="1" applyProtection="1">
      <alignment horizontal="center" vertical="center"/>
      <protection locked="0"/>
    </xf>
    <xf numFmtId="0" fontId="62" fillId="0" borderId="14" xfId="0" applyFont="1" applyBorder="1" applyAlignment="1">
      <alignment wrapText="1"/>
    </xf>
    <xf numFmtId="0" fontId="62" fillId="0" borderId="12" xfId="0" applyFont="1" applyBorder="1" applyAlignment="1">
      <alignment wrapText="1"/>
    </xf>
    <xf numFmtId="0" fontId="85" fillId="3" borderId="4" xfId="0" applyFont="1" applyFill="1" applyBorder="1" applyAlignment="1">
      <alignment horizontal="center" vertical="center"/>
    </xf>
    <xf numFmtId="0" fontId="85" fillId="3" borderId="16" xfId="0" applyFont="1" applyFill="1" applyBorder="1" applyAlignment="1">
      <alignment horizontal="center" vertical="center"/>
    </xf>
    <xf numFmtId="0" fontId="116" fillId="30" borderId="0" xfId="0" applyFont="1" applyFill="1" applyAlignment="1">
      <alignment vertical="center" wrapText="1"/>
    </xf>
    <xf numFmtId="0" fontId="117" fillId="30" borderId="0" xfId="0" applyFont="1" applyFill="1" applyAlignment="1">
      <alignment vertical="center" wrapText="1"/>
    </xf>
    <xf numFmtId="0" fontId="116" fillId="30" borderId="0" xfId="0" applyFont="1" applyFill="1" applyAlignment="1">
      <alignment horizontal="left" vertical="center" wrapText="1"/>
    </xf>
    <xf numFmtId="0" fontId="116" fillId="30" borderId="0" xfId="0" applyFont="1" applyFill="1" applyAlignment="1">
      <alignment vertical="top" wrapText="1"/>
    </xf>
    <xf numFmtId="0" fontId="25" fillId="0" borderId="0" xfId="0" applyFont="1" applyAlignment="1" applyProtection="1">
      <alignment horizontal="left" vertical="center" wrapText="1"/>
      <protection locked="0"/>
    </xf>
    <xf numFmtId="0" fontId="25" fillId="0" borderId="0" xfId="0" applyFont="1" applyAlignment="1" applyProtection="1">
      <alignment horizontal="left" vertical="center"/>
      <protection locked="0"/>
    </xf>
    <xf numFmtId="0" fontId="96" fillId="0" borderId="0" xfId="0" applyFont="1" applyAlignment="1" applyProtection="1">
      <alignment horizontal="left" vertical="center" wrapText="1"/>
      <protection locked="0"/>
    </xf>
    <xf numFmtId="0" fontId="96" fillId="0" borderId="0" xfId="0" applyFont="1" applyAlignment="1" applyProtection="1">
      <alignment horizontal="left" vertical="center"/>
      <protection locked="0"/>
    </xf>
    <xf numFmtId="0" fontId="25" fillId="0" borderId="0" xfId="0" applyFont="1" applyAlignment="1" applyProtection="1">
      <alignment vertical="center" wrapText="1"/>
      <protection locked="0"/>
    </xf>
    <xf numFmtId="0" fontId="116" fillId="6" borderId="0" xfId="0" applyFont="1" applyFill="1" applyAlignment="1">
      <alignment vertical="center" wrapText="1"/>
    </xf>
    <xf numFmtId="0" fontId="91" fillId="0" borderId="4" xfId="0" applyFont="1" applyBorder="1" applyAlignment="1" applyProtection="1">
      <alignment horizontal="left" vertical="top" wrapText="1"/>
      <protection locked="0"/>
    </xf>
    <xf numFmtId="0" fontId="91" fillId="0" borderId="16" xfId="0" applyFont="1" applyBorder="1" applyAlignment="1" applyProtection="1">
      <alignment horizontal="left" vertical="top" wrapText="1"/>
      <protection locked="0"/>
    </xf>
    <xf numFmtId="0" fontId="85" fillId="26" borderId="1" xfId="0" applyFont="1" applyFill="1" applyBorder="1" applyAlignment="1" applyProtection="1">
      <alignment vertical="center"/>
      <protection locked="0"/>
    </xf>
    <xf numFmtId="0" fontId="20" fillId="0" borderId="0" xfId="0" applyFont="1" applyAlignment="1">
      <alignment horizontal="left" vertical="center" wrapText="1"/>
    </xf>
    <xf numFmtId="0" fontId="66" fillId="6" borderId="0" xfId="0" applyFont="1" applyFill="1" applyAlignment="1">
      <alignment vertical="center" wrapText="1"/>
    </xf>
    <xf numFmtId="0" fontId="114" fillId="6" borderId="0" xfId="0" applyFont="1" applyFill="1" applyAlignment="1">
      <alignment horizontal="center" vertical="center" wrapText="1"/>
    </xf>
    <xf numFmtId="0" fontId="62" fillId="24" borderId="8" xfId="0" applyFont="1" applyFill="1" applyBorder="1" applyAlignment="1">
      <alignment horizontal="center" vertical="center" wrapText="1"/>
    </xf>
    <xf numFmtId="0" fontId="62" fillId="24" borderId="0" xfId="0" applyFont="1" applyFill="1" applyAlignment="1">
      <alignment horizontal="center" vertical="center" wrapText="1"/>
    </xf>
    <xf numFmtId="0" fontId="86" fillId="6" borderId="0" xfId="0" applyFont="1" applyFill="1" applyAlignment="1" applyProtection="1">
      <alignment horizontal="center" vertical="center" wrapText="1"/>
      <protection locked="0"/>
    </xf>
    <xf numFmtId="0" fontId="66" fillId="6" borderId="0" xfId="0" applyFont="1" applyFill="1" applyAlignment="1" applyProtection="1">
      <alignment horizontal="center" vertical="center" wrapText="1"/>
      <protection locked="0"/>
    </xf>
    <xf numFmtId="0" fontId="0" fillId="0" borderId="0" xfId="0" applyAlignment="1" applyProtection="1">
      <alignment wrapText="1"/>
      <protection locked="0"/>
    </xf>
    <xf numFmtId="0" fontId="86" fillId="3" borderId="12" xfId="0" applyFont="1" applyFill="1" applyBorder="1" applyAlignment="1" applyProtection="1">
      <alignment horizontal="center" vertical="center" wrapText="1"/>
      <protection locked="0"/>
    </xf>
    <xf numFmtId="0" fontId="85" fillId="26" borderId="5" xfId="0" applyFont="1" applyFill="1" applyBorder="1" applyAlignment="1">
      <alignment horizontal="left" vertical="center" wrapText="1"/>
    </xf>
    <xf numFmtId="0" fontId="95" fillId="26" borderId="1" xfId="0" applyFont="1" applyFill="1" applyBorder="1" applyAlignment="1">
      <alignment horizontal="left" vertical="center" wrapText="1"/>
    </xf>
    <xf numFmtId="0" fontId="87" fillId="26" borderId="13" xfId="0" applyFont="1" applyFill="1" applyBorder="1" applyAlignment="1">
      <alignment horizontal="left" vertical="center" wrapText="1"/>
    </xf>
    <xf numFmtId="0" fontId="95" fillId="26" borderId="10" xfId="0" applyFont="1" applyFill="1" applyBorder="1" applyAlignment="1">
      <alignment horizontal="left" vertical="center" wrapText="1"/>
    </xf>
    <xf numFmtId="0" fontId="22" fillId="22" borderId="0" xfId="0" applyFont="1" applyFill="1" applyAlignment="1">
      <alignment vertical="center" wrapText="1"/>
    </xf>
    <xf numFmtId="0" fontId="55" fillId="4" borderId="0" xfId="0" applyFont="1" applyFill="1" applyAlignment="1">
      <alignment horizontal="center" vertical="center" wrapText="1"/>
    </xf>
    <xf numFmtId="0" fontId="23" fillId="0" borderId="0" xfId="0" applyFont="1" applyAlignment="1" applyProtection="1">
      <alignment vertical="center"/>
      <protection locked="0"/>
    </xf>
    <xf numFmtId="0" fontId="23" fillId="0" borderId="0" xfId="0" applyFont="1" applyAlignment="1" applyProtection="1">
      <alignment vertical="center" wrapText="1"/>
      <protection locked="0"/>
    </xf>
    <xf numFmtId="0" fontId="23" fillId="0" borderId="0" xfId="0" applyFont="1" applyAlignment="1" applyProtection="1">
      <alignment horizontal="left" vertical="center"/>
      <protection locked="0"/>
    </xf>
    <xf numFmtId="0" fontId="16" fillId="0" borderId="0" xfId="0" applyFont="1" applyAlignment="1" applyProtection="1">
      <alignment vertical="center"/>
      <protection locked="0"/>
    </xf>
    <xf numFmtId="0" fontId="121" fillId="22" borderId="0" xfId="0" applyFont="1" applyFill="1" applyAlignment="1">
      <alignment horizontal="center" vertical="center" wrapText="1"/>
    </xf>
    <xf numFmtId="0" fontId="122" fillId="23" borderId="0" xfId="0" applyFont="1" applyFill="1" applyAlignment="1">
      <alignment horizontal="left" vertical="center"/>
    </xf>
    <xf numFmtId="0" fontId="122" fillId="33" borderId="0" xfId="0" applyFont="1" applyFill="1" applyAlignment="1">
      <alignment horizontal="left" vertical="center"/>
    </xf>
    <xf numFmtId="0" fontId="123" fillId="32" borderId="0" xfId="0" applyFont="1" applyFill="1" applyAlignment="1">
      <alignment horizontal="center" vertical="center" wrapText="1"/>
    </xf>
    <xf numFmtId="0" fontId="124" fillId="0" borderId="0" xfId="0" applyFont="1"/>
    <xf numFmtId="0" fontId="5" fillId="3" borderId="0" xfId="1" applyFill="1" applyAlignment="1" applyProtection="1">
      <alignment horizontal="center" vertical="center" wrapText="1"/>
      <protection locked="0"/>
    </xf>
    <xf numFmtId="0" fontId="125" fillId="24" borderId="0" xfId="0" applyFont="1" applyFill="1" applyAlignment="1">
      <alignment horizontal="center" vertical="center" wrapText="1"/>
    </xf>
    <xf numFmtId="0" fontId="109" fillId="0" borderId="0" xfId="0" applyFont="1" applyAlignment="1">
      <alignment horizontal="right" vertical="center" indent="1"/>
    </xf>
    <xf numFmtId="0" fontId="109" fillId="0" borderId="7" xfId="0" applyFont="1" applyBorder="1" applyAlignment="1">
      <alignment horizontal="right" vertical="center" indent="1"/>
    </xf>
    <xf numFmtId="0" fontId="104" fillId="3" borderId="2" xfId="0" applyFont="1" applyFill="1" applyBorder="1" applyAlignment="1" applyProtection="1">
      <alignment horizontal="left" vertical="center"/>
      <protection locked="0"/>
    </xf>
    <xf numFmtId="0" fontId="104" fillId="3" borderId="3" xfId="0" applyFont="1" applyFill="1" applyBorder="1" applyAlignment="1" applyProtection="1">
      <alignment horizontal="left" vertical="center"/>
      <protection locked="0"/>
    </xf>
    <xf numFmtId="0" fontId="104" fillId="3" borderId="4" xfId="0" applyFont="1" applyFill="1" applyBorder="1" applyAlignment="1" applyProtection="1">
      <alignment horizontal="left" vertical="center"/>
      <protection locked="0"/>
    </xf>
    <xf numFmtId="0" fontId="126" fillId="0" borderId="0" xfId="0" applyFont="1" applyAlignment="1">
      <alignment wrapText="1"/>
    </xf>
    <xf numFmtId="164" fontId="104" fillId="3" borderId="2" xfId="0" applyNumberFormat="1" applyFont="1" applyFill="1" applyBorder="1" applyAlignment="1" applyProtection="1">
      <alignment horizontal="left" vertical="center"/>
      <protection locked="0"/>
    </xf>
    <xf numFmtId="164" fontId="104" fillId="3" borderId="3" xfId="0" applyNumberFormat="1" applyFont="1" applyFill="1" applyBorder="1" applyAlignment="1" applyProtection="1">
      <alignment horizontal="left" vertical="center"/>
      <protection locked="0"/>
    </xf>
    <xf numFmtId="164" fontId="104" fillId="3" borderId="4" xfId="0" applyNumberFormat="1" applyFont="1" applyFill="1" applyBorder="1" applyAlignment="1" applyProtection="1">
      <alignment horizontal="left" vertical="center"/>
      <protection locked="0"/>
    </xf>
    <xf numFmtId="0" fontId="7" fillId="0" borderId="0" xfId="0" applyFont="1" applyAlignment="1">
      <alignment horizontal="left" wrapText="1" indent="1"/>
    </xf>
    <xf numFmtId="0" fontId="17" fillId="5" borderId="0" xfId="0" applyFont="1" applyFill="1" applyAlignment="1">
      <alignment horizontal="left" vertical="center" wrapText="1"/>
    </xf>
    <xf numFmtId="0" fontId="7" fillId="5" borderId="0" xfId="0" applyFont="1" applyFill="1" applyAlignment="1">
      <alignment horizontal="left" vertical="center" wrapText="1"/>
    </xf>
    <xf numFmtId="0" fontId="77" fillId="5" borderId="9" xfId="0" applyFont="1" applyFill="1" applyBorder="1" applyAlignment="1">
      <alignment horizontal="center" vertical="center"/>
    </xf>
    <xf numFmtId="0" fontId="109" fillId="0" borderId="0" xfId="0" applyFont="1" applyAlignment="1">
      <alignment horizontal="center" vertical="center"/>
    </xf>
    <xf numFmtId="0" fontId="16" fillId="5" borderId="0" xfId="0" applyFont="1" applyFill="1" applyAlignment="1">
      <alignment horizontal="left" vertical="center" wrapText="1"/>
    </xf>
    <xf numFmtId="0" fontId="77" fillId="5" borderId="0" xfId="0" applyFont="1" applyFill="1" applyAlignment="1">
      <alignment horizontal="center" vertical="center"/>
    </xf>
    <xf numFmtId="0" fontId="79" fillId="0" borderId="8" xfId="0" applyFont="1" applyBorder="1" applyAlignment="1">
      <alignment horizontal="left" vertical="center" wrapText="1"/>
    </xf>
    <xf numFmtId="0" fontId="79" fillId="0" borderId="0" xfId="0" applyFont="1" applyAlignment="1">
      <alignment horizontal="left" vertical="center" wrapText="1"/>
    </xf>
    <xf numFmtId="0" fontId="119" fillId="0" borderId="0" xfId="0" applyFont="1" applyAlignment="1" applyProtection="1">
      <alignment horizontal="center" vertical="center"/>
      <protection locked="0"/>
    </xf>
    <xf numFmtId="0" fontId="0" fillId="22" borderId="0" xfId="0" applyFill="1" applyAlignment="1">
      <alignment horizontal="center"/>
    </xf>
    <xf numFmtId="0" fontId="76" fillId="25" borderId="0" xfId="0" applyFont="1" applyFill="1" applyAlignment="1">
      <alignment horizontal="center" vertical="center" wrapText="1"/>
    </xf>
    <xf numFmtId="0" fontId="75" fillId="31" borderId="0" xfId="0" applyFont="1" applyFill="1" applyAlignment="1">
      <alignment horizontal="center" vertical="center"/>
    </xf>
    <xf numFmtId="0" fontId="11" fillId="31" borderId="0" xfId="0" applyFont="1" applyFill="1" applyAlignment="1">
      <alignment horizontal="center" vertical="center"/>
    </xf>
    <xf numFmtId="0" fontId="94" fillId="0" borderId="8" xfId="0" applyFont="1" applyBorder="1" applyAlignment="1">
      <alignment horizontal="right" vertical="center" indent="1"/>
    </xf>
    <xf numFmtId="0" fontId="94" fillId="0" borderId="7" xfId="0" applyFont="1" applyBorder="1" applyAlignment="1">
      <alignment horizontal="right" vertical="center" indent="1"/>
    </xf>
    <xf numFmtId="0" fontId="104" fillId="3" borderId="2" xfId="0" applyFont="1" applyFill="1" applyBorder="1" applyAlignment="1" applyProtection="1">
      <alignment horizontal="center" vertical="center"/>
      <protection locked="0"/>
    </xf>
    <xf numFmtId="0" fontId="104" fillId="3" borderId="3" xfId="0" applyFont="1" applyFill="1" applyBorder="1" applyAlignment="1" applyProtection="1">
      <alignment horizontal="center" vertical="center"/>
      <protection locked="0"/>
    </xf>
    <xf numFmtId="0" fontId="104" fillId="3" borderId="4" xfId="0" applyFont="1" applyFill="1" applyBorder="1" applyAlignment="1" applyProtection="1">
      <alignment horizontal="center" vertical="center"/>
      <protection locked="0"/>
    </xf>
    <xf numFmtId="0" fontId="54" fillId="0" borderId="0" xfId="0" applyFont="1" applyAlignment="1">
      <alignment horizontal="center" vertical="center" wrapText="1"/>
    </xf>
    <xf numFmtId="0" fontId="71" fillId="3" borderId="2" xfId="0" applyFont="1" applyFill="1" applyBorder="1" applyAlignment="1" applyProtection="1">
      <alignment horizontal="center" vertical="center"/>
      <protection locked="0"/>
    </xf>
    <xf numFmtId="0" fontId="71" fillId="3" borderId="3" xfId="0" applyFont="1" applyFill="1" applyBorder="1" applyAlignment="1" applyProtection="1">
      <alignment horizontal="center" vertical="center"/>
      <protection locked="0"/>
    </xf>
    <xf numFmtId="0" fontId="71" fillId="3" borderId="4" xfId="0" applyFont="1" applyFill="1" applyBorder="1" applyAlignment="1" applyProtection="1">
      <alignment horizontal="center" vertical="center"/>
      <protection locked="0"/>
    </xf>
    <xf numFmtId="0" fontId="2" fillId="2" borderId="2"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6" fillId="0" borderId="0" xfId="0" applyFont="1" applyAlignment="1">
      <alignment horizontal="center" wrapText="1"/>
    </xf>
    <xf numFmtId="0" fontId="36" fillId="16" borderId="0" xfId="0" applyFont="1" applyFill="1" applyAlignment="1">
      <alignment horizontal="center" vertical="center" wrapText="1"/>
    </xf>
    <xf numFmtId="0" fontId="0" fillId="19" borderId="0" xfId="0" applyFill="1" applyAlignment="1" applyProtection="1">
      <alignment horizontal="center" vertical="center"/>
      <protection locked="0"/>
    </xf>
    <xf numFmtId="0" fontId="3" fillId="10" borderId="2" xfId="0" applyFont="1" applyFill="1" applyBorder="1"/>
    <xf numFmtId="0" fontId="3" fillId="10" borderId="4" xfId="0" applyFont="1" applyFill="1" applyBorder="1"/>
    <xf numFmtId="0" fontId="26" fillId="2" borderId="1" xfId="0" applyFont="1" applyFill="1" applyBorder="1" applyAlignment="1" applyProtection="1">
      <alignment horizontal="left" vertical="center" wrapText="1"/>
      <protection locked="0"/>
    </xf>
    <xf numFmtId="0" fontId="42" fillId="13" borderId="2" xfId="0" applyFont="1" applyFill="1" applyBorder="1" applyAlignment="1" applyProtection="1">
      <alignment horizontal="left" vertical="center" wrapText="1"/>
      <protection locked="0"/>
    </xf>
    <xf numFmtId="0" fontId="42" fillId="13" borderId="4" xfId="0" applyFont="1" applyFill="1" applyBorder="1" applyAlignment="1" applyProtection="1">
      <alignment horizontal="left" vertical="center" wrapText="1"/>
      <protection locked="0"/>
    </xf>
    <xf numFmtId="0" fontId="19" fillId="0" borderId="12" xfId="0" applyFont="1" applyBorder="1" applyAlignment="1">
      <alignment vertical="center" wrapText="1"/>
    </xf>
    <xf numFmtId="0" fontId="19" fillId="0" borderId="0" xfId="0" applyFont="1" applyAlignment="1">
      <alignment vertical="center" wrapText="1"/>
    </xf>
    <xf numFmtId="0" fontId="49" fillId="0" borderId="0" xfId="0" applyFont="1" applyAlignment="1">
      <alignment vertical="center" wrapText="1"/>
    </xf>
    <xf numFmtId="14" fontId="26" fillId="14" borderId="2" xfId="0" applyNumberFormat="1" applyFont="1" applyFill="1" applyBorder="1" applyAlignment="1">
      <alignment horizontal="justify" vertical="center" wrapText="1"/>
    </xf>
    <xf numFmtId="14" fontId="26" fillId="14" borderId="3" xfId="0" applyNumberFormat="1" applyFont="1" applyFill="1" applyBorder="1" applyAlignment="1">
      <alignment horizontal="justify" vertical="center" wrapText="1"/>
    </xf>
    <xf numFmtId="14" fontId="26" fillId="14" borderId="4" xfId="0" applyNumberFormat="1" applyFont="1" applyFill="1" applyBorder="1" applyAlignment="1">
      <alignment horizontal="justify" vertical="center" wrapText="1"/>
    </xf>
    <xf numFmtId="0" fontId="22" fillId="17" borderId="2" xfId="0" applyFont="1" applyFill="1" applyBorder="1" applyAlignment="1">
      <alignment vertical="center"/>
    </xf>
    <xf numFmtId="0" fontId="22" fillId="17" borderId="4" xfId="0" applyFont="1" applyFill="1" applyBorder="1" applyAlignment="1">
      <alignment vertical="center"/>
    </xf>
    <xf numFmtId="0" fontId="44" fillId="17" borderId="2" xfId="0" applyFont="1" applyFill="1" applyBorder="1" applyAlignment="1">
      <alignment horizontal="center" vertical="center" wrapText="1"/>
    </xf>
    <xf numFmtId="0" fontId="44" fillId="17" borderId="4" xfId="0" applyFont="1" applyFill="1" applyBorder="1" applyAlignment="1">
      <alignment horizontal="center" vertical="center" wrapText="1"/>
    </xf>
    <xf numFmtId="0" fontId="40" fillId="0" borderId="0" xfId="0" applyFont="1"/>
    <xf numFmtId="0" fontId="40" fillId="0" borderId="0" xfId="0" applyFont="1" applyAlignment="1">
      <alignment vertical="center"/>
    </xf>
    <xf numFmtId="0" fontId="22" fillId="18" borderId="2" xfId="0" applyFont="1" applyFill="1" applyBorder="1" applyAlignment="1">
      <alignment vertical="top"/>
    </xf>
    <xf numFmtId="0" fontId="22" fillId="18" borderId="3" xfId="0" applyFont="1" applyFill="1" applyBorder="1" applyAlignment="1">
      <alignment vertical="top"/>
    </xf>
    <xf numFmtId="0" fontId="22" fillId="18" borderId="4" xfId="0" applyFont="1" applyFill="1" applyBorder="1" applyAlignment="1">
      <alignment vertical="top"/>
    </xf>
    <xf numFmtId="0" fontId="23" fillId="0" borderId="2" xfId="0" applyFont="1" applyBorder="1" applyAlignment="1">
      <alignment horizontal="left" vertical="center"/>
    </xf>
    <xf numFmtId="0" fontId="23" fillId="0" borderId="4" xfId="0" applyFont="1" applyBorder="1" applyAlignment="1">
      <alignment horizontal="left" vertical="center"/>
    </xf>
    <xf numFmtId="0" fontId="22" fillId="18" borderId="5" xfId="0" applyFont="1" applyFill="1" applyBorder="1"/>
    <xf numFmtId="0" fontId="22" fillId="18" borderId="6" xfId="0" applyFont="1" applyFill="1" applyBorder="1"/>
    <xf numFmtId="0" fontId="22" fillId="18" borderId="15" xfId="0" applyFont="1" applyFill="1" applyBorder="1"/>
    <xf numFmtId="0" fontId="22" fillId="0" borderId="2" xfId="0" applyFont="1" applyBorder="1" applyAlignment="1">
      <alignment horizontal="left" wrapText="1"/>
    </xf>
    <xf numFmtId="0" fontId="22" fillId="0" borderId="4" xfId="0" applyFont="1" applyBorder="1" applyAlignment="1">
      <alignment horizontal="left"/>
    </xf>
    <xf numFmtId="0" fontId="2" fillId="11" borderId="2" xfId="0" applyFont="1" applyFill="1" applyBorder="1" applyAlignment="1" applyProtection="1">
      <alignment vertical="center"/>
      <protection locked="0"/>
    </xf>
    <xf numFmtId="0" fontId="2" fillId="11" borderId="3" xfId="0" applyFont="1" applyFill="1" applyBorder="1" applyAlignment="1" applyProtection="1">
      <alignment vertical="center"/>
      <protection locked="0"/>
    </xf>
    <xf numFmtId="0" fontId="2" fillId="11" borderId="4" xfId="0" applyFont="1" applyFill="1" applyBorder="1" applyAlignment="1" applyProtection="1">
      <alignment vertical="center"/>
      <protection locked="0"/>
    </xf>
    <xf numFmtId="0" fontId="0" fillId="0" borderId="2" xfId="0" applyBorder="1" applyAlignment="1">
      <alignment horizontal="left" vertical="center"/>
    </xf>
    <xf numFmtId="0" fontId="0" fillId="0" borderId="4" xfId="0" applyBorder="1" applyAlignment="1">
      <alignment horizontal="left" vertical="center"/>
    </xf>
    <xf numFmtId="0" fontId="25" fillId="0" borderId="0" xfId="0" applyFont="1" applyProtection="1">
      <protection locked="0"/>
    </xf>
    <xf numFmtId="0" fontId="25" fillId="0" borderId="0" xfId="0" applyFont="1" applyAlignment="1" applyProtection="1">
      <alignment wrapText="1"/>
      <protection locked="0"/>
    </xf>
    <xf numFmtId="0" fontId="0" fillId="0" borderId="0" xfId="0" applyAlignment="1" applyProtection="1">
      <alignment wrapText="1"/>
      <protection locked="0"/>
    </xf>
    <xf numFmtId="0" fontId="22" fillId="18" borderId="2" xfId="0" applyFont="1" applyFill="1" applyBorder="1"/>
    <xf numFmtId="0" fontId="2" fillId="18" borderId="3" xfId="0" applyFont="1" applyFill="1" applyBorder="1"/>
    <xf numFmtId="0" fontId="2" fillId="18" borderId="4" xfId="0" applyFont="1" applyFill="1" applyBorder="1"/>
    <xf numFmtId="0" fontId="0" fillId="0" borderId="0" xfId="0"/>
    <xf numFmtId="0" fontId="0" fillId="19" borderId="2" xfId="0" applyFill="1" applyBorder="1" applyAlignment="1" applyProtection="1">
      <alignment horizontal="left" vertical="top" wrapText="1"/>
      <protection locked="0"/>
    </xf>
    <xf numFmtId="0" fontId="0" fillId="19" borderId="3" xfId="0" applyFill="1" applyBorder="1" applyAlignment="1" applyProtection="1">
      <alignment horizontal="left" vertical="top" wrapText="1"/>
      <protection locked="0"/>
    </xf>
    <xf numFmtId="0" fontId="0" fillId="19" borderId="4" xfId="0" applyFill="1" applyBorder="1" applyAlignment="1" applyProtection="1">
      <alignment horizontal="left" vertical="top" wrapText="1"/>
      <protection locked="0"/>
    </xf>
    <xf numFmtId="0" fontId="22" fillId="0" borderId="2" xfId="0" applyFont="1" applyBorder="1" applyAlignment="1">
      <alignment horizontal="left" vertical="center" wrapText="1"/>
    </xf>
    <xf numFmtId="0" fontId="22" fillId="0" borderId="4" xfId="0" applyFont="1" applyBorder="1" applyAlignment="1">
      <alignment horizontal="left" vertical="center" wrapText="1"/>
    </xf>
    <xf numFmtId="0" fontId="23" fillId="0" borderId="2" xfId="0" applyFont="1" applyBorder="1" applyAlignment="1">
      <alignment horizontal="left"/>
    </xf>
    <xf numFmtId="0" fontId="23" fillId="0" borderId="4" xfId="0" applyFont="1" applyBorder="1" applyAlignment="1">
      <alignment horizontal="left"/>
    </xf>
    <xf numFmtId="0" fontId="0" fillId="4" borderId="1" xfId="0" applyFill="1" applyBorder="1"/>
    <xf numFmtId="0" fontId="0" fillId="4" borderId="11" xfId="0" applyFill="1" applyBorder="1"/>
    <xf numFmtId="0" fontId="26" fillId="19" borderId="2" xfId="0" applyFont="1" applyFill="1" applyBorder="1" applyAlignment="1" applyProtection="1">
      <alignment horizontal="left" vertical="center"/>
      <protection locked="0"/>
    </xf>
    <xf numFmtId="0" fontId="26" fillId="19" borderId="3" xfId="0" applyFont="1" applyFill="1" applyBorder="1" applyAlignment="1" applyProtection="1">
      <alignment horizontal="left" vertical="center"/>
      <protection locked="0"/>
    </xf>
    <xf numFmtId="0" fontId="26" fillId="19" borderId="4" xfId="0" applyFont="1" applyFill="1" applyBorder="1" applyAlignment="1" applyProtection="1">
      <alignment horizontal="left" vertical="center"/>
      <protection locked="0"/>
    </xf>
    <xf numFmtId="0" fontId="25" fillId="0" borderId="0" xfId="0" applyFont="1" applyAlignment="1" applyProtection="1">
      <alignment vertical="center" wrapText="1"/>
      <protection locked="0"/>
    </xf>
    <xf numFmtId="0" fontId="86" fillId="26" borderId="1" xfId="0" applyFont="1" applyFill="1" applyBorder="1" applyAlignment="1">
      <alignment vertical="center" wrapText="1"/>
    </xf>
    <xf numFmtId="0" fontId="16" fillId="0" borderId="1" xfId="0" applyFont="1" applyBorder="1" applyAlignment="1">
      <alignment vertical="center" wrapText="1"/>
    </xf>
    <xf numFmtId="0" fontId="16" fillId="3" borderId="12"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16" fillId="3" borderId="6" xfId="0" applyFont="1" applyFill="1" applyBorder="1" applyAlignment="1" applyProtection="1">
      <alignment horizontal="center" vertical="center"/>
      <protection locked="0"/>
    </xf>
    <xf numFmtId="0" fontId="85" fillId="26" borderId="10" xfId="0" applyFont="1" applyFill="1" applyBorder="1" applyAlignment="1" applyProtection="1">
      <alignment horizontal="center" vertical="center"/>
      <protection locked="0"/>
    </xf>
    <xf numFmtId="0" fontId="85" fillId="26" borderId="11" xfId="0" applyFont="1" applyFill="1" applyBorder="1" applyAlignment="1" applyProtection="1">
      <alignment horizontal="center" vertical="center"/>
      <protection locked="0"/>
    </xf>
    <xf numFmtId="0" fontId="85" fillId="7" borderId="2" xfId="0" applyFont="1" applyFill="1" applyBorder="1" applyAlignment="1">
      <alignment horizontal="left" vertical="center" wrapText="1"/>
    </xf>
    <xf numFmtId="0" fontId="85" fillId="7" borderId="4" xfId="0" applyFont="1" applyFill="1" applyBorder="1" applyAlignment="1">
      <alignment horizontal="left" vertical="center" wrapText="1"/>
    </xf>
    <xf numFmtId="0" fontId="85" fillId="3" borderId="2" xfId="0" applyFont="1" applyFill="1" applyBorder="1" applyAlignment="1">
      <alignment horizontal="left" vertical="top" wrapText="1"/>
    </xf>
    <xf numFmtId="0" fontId="85" fillId="3" borderId="3" xfId="0" applyFont="1" applyFill="1" applyBorder="1" applyAlignment="1">
      <alignment horizontal="left" vertical="top" wrapText="1"/>
    </xf>
    <xf numFmtId="0" fontId="85" fillId="3" borderId="4" xfId="0" applyFont="1" applyFill="1" applyBorder="1" applyAlignment="1">
      <alignment horizontal="left" vertical="top" wrapText="1"/>
    </xf>
    <xf numFmtId="0" fontId="85" fillId="26" borderId="2" xfId="0" applyFont="1" applyFill="1" applyBorder="1" applyAlignment="1">
      <alignment horizontal="left" vertical="center" wrapText="1"/>
    </xf>
    <xf numFmtId="0" fontId="85" fillId="26" borderId="4" xfId="0" applyFont="1" applyFill="1" applyBorder="1" applyAlignment="1">
      <alignment horizontal="left" vertical="center" wrapText="1"/>
    </xf>
    <xf numFmtId="0" fontId="85" fillId="0" borderId="14" xfId="0" applyFont="1" applyBorder="1" applyAlignment="1">
      <alignment horizontal="left" vertical="center" wrapText="1"/>
    </xf>
    <xf numFmtId="0" fontId="85" fillId="0" borderId="12" xfId="0" applyFont="1" applyBorder="1" applyAlignment="1">
      <alignment horizontal="left" vertical="center" wrapText="1"/>
    </xf>
    <xf numFmtId="0" fontId="85" fillId="0" borderId="16" xfId="0" applyFont="1" applyBorder="1" applyAlignment="1">
      <alignment horizontal="left" vertical="center" wrapText="1"/>
    </xf>
    <xf numFmtId="0" fontId="85" fillId="0" borderId="8" xfId="0" applyFont="1" applyBorder="1" applyAlignment="1">
      <alignment horizontal="left" vertical="center" wrapText="1"/>
    </xf>
    <xf numFmtId="0" fontId="85" fillId="0" borderId="0" xfId="0" applyFont="1" applyAlignment="1">
      <alignment horizontal="left" vertical="center" wrapText="1"/>
    </xf>
    <xf numFmtId="0" fontId="85" fillId="0" borderId="7" xfId="0" applyFont="1" applyBorder="1" applyAlignment="1">
      <alignment horizontal="left" vertical="center" wrapText="1"/>
    </xf>
    <xf numFmtId="0" fontId="85" fillId="0" borderId="5" xfId="0" applyFont="1" applyBorder="1" applyAlignment="1">
      <alignment horizontal="left" vertical="center" wrapText="1"/>
    </xf>
    <xf numFmtId="0" fontId="85" fillId="0" borderId="6" xfId="0" applyFont="1" applyBorder="1" applyAlignment="1">
      <alignment horizontal="left" vertical="center" wrapText="1"/>
    </xf>
    <xf numFmtId="0" fontId="85" fillId="0" borderId="15" xfId="0" applyFont="1" applyBorder="1" applyAlignment="1">
      <alignment horizontal="left" vertical="center" wrapText="1"/>
    </xf>
    <xf numFmtId="0" fontId="85" fillId="3" borderId="2" xfId="0" applyFont="1" applyFill="1" applyBorder="1" applyAlignment="1" applyProtection="1">
      <alignment vertical="top" wrapText="1"/>
      <protection locked="0"/>
    </xf>
    <xf numFmtId="0" fontId="85" fillId="3" borderId="3" xfId="0" applyFont="1" applyFill="1" applyBorder="1" applyAlignment="1" applyProtection="1">
      <alignment vertical="top" wrapText="1"/>
      <protection locked="0"/>
    </xf>
    <xf numFmtId="0" fontId="85" fillId="3" borderId="4" xfId="0" applyFont="1" applyFill="1" applyBorder="1" applyAlignment="1" applyProtection="1">
      <alignment vertical="top" wrapText="1"/>
      <protection locked="0"/>
    </xf>
    <xf numFmtId="0" fontId="85" fillId="3" borderId="12" xfId="0" applyFont="1" applyFill="1" applyBorder="1" applyAlignment="1" applyProtection="1">
      <alignment horizontal="center" vertical="center"/>
      <protection locked="0"/>
    </xf>
    <xf numFmtId="0" fontId="85" fillId="3" borderId="0" xfId="0" applyFont="1" applyFill="1" applyAlignment="1" applyProtection="1">
      <alignment horizontal="center" vertical="center"/>
      <protection locked="0"/>
    </xf>
    <xf numFmtId="0" fontId="85" fillId="3" borderId="6" xfId="0" applyFont="1" applyFill="1" applyBorder="1" applyAlignment="1" applyProtection="1">
      <alignment horizontal="center" vertical="center"/>
      <protection locked="0"/>
    </xf>
    <xf numFmtId="0" fontId="85" fillId="26" borderId="0" xfId="0" applyFont="1" applyFill="1" applyAlignment="1">
      <alignment vertical="center" wrapText="1"/>
    </xf>
    <xf numFmtId="0" fontId="85" fillId="26" borderId="12" xfId="0" applyFont="1" applyFill="1" applyBorder="1" applyAlignment="1" applyProtection="1">
      <alignment vertical="center"/>
      <protection locked="0"/>
    </xf>
    <xf numFmtId="0" fontId="85" fillId="26" borderId="0" xfId="0" applyFont="1" applyFill="1" applyAlignment="1" applyProtection="1">
      <alignment vertical="center"/>
      <protection locked="0"/>
    </xf>
    <xf numFmtId="0" fontId="85" fillId="26" borderId="6" xfId="0" applyFont="1" applyFill="1" applyBorder="1" applyAlignment="1" applyProtection="1">
      <alignment vertical="center"/>
      <protection locked="0"/>
    </xf>
    <xf numFmtId="0" fontId="85" fillId="26" borderId="8" xfId="0" applyFont="1" applyFill="1" applyBorder="1" applyAlignment="1">
      <alignment vertical="center" wrapText="1"/>
    </xf>
    <xf numFmtId="0" fontId="85" fillId="26" borderId="5" xfId="0" applyFont="1" applyFill="1" applyBorder="1" applyAlignment="1">
      <alignment vertical="center" wrapText="1"/>
    </xf>
    <xf numFmtId="0" fontId="85" fillId="26" borderId="0" xfId="0" applyFont="1" applyFill="1" applyAlignment="1">
      <alignment horizontal="left" vertical="center" wrapText="1"/>
    </xf>
    <xf numFmtId="0" fontId="85" fillId="3" borderId="0" xfId="0" applyFont="1" applyFill="1" applyAlignment="1" applyProtection="1">
      <alignment horizontal="left" vertical="top" wrapText="1"/>
      <protection locked="0"/>
    </xf>
    <xf numFmtId="0" fontId="64" fillId="2" borderId="5" xfId="0" applyFont="1" applyFill="1" applyBorder="1" applyAlignment="1">
      <alignment vertical="center"/>
    </xf>
    <xf numFmtId="0" fontId="64" fillId="2" borderId="6" xfId="0" applyFont="1" applyFill="1" applyBorder="1" applyAlignment="1">
      <alignment vertical="center"/>
    </xf>
    <xf numFmtId="0" fontId="64" fillId="2" borderId="15" xfId="0" applyFont="1" applyFill="1" applyBorder="1" applyAlignment="1">
      <alignment vertical="center"/>
    </xf>
    <xf numFmtId="0" fontId="66" fillId="6" borderId="0" xfId="0" applyFont="1" applyFill="1" applyAlignment="1">
      <alignment vertical="center" wrapText="1"/>
    </xf>
    <xf numFmtId="0" fontId="114" fillId="0" borderId="0" xfId="0" applyFont="1" applyAlignment="1">
      <alignment horizontal="left" vertical="center" wrapText="1"/>
    </xf>
    <xf numFmtId="0" fontId="64" fillId="2" borderId="0" xfId="0" applyFont="1" applyFill="1" applyAlignment="1">
      <alignment vertical="center"/>
    </xf>
    <xf numFmtId="0" fontId="86" fillId="0" borderId="10" xfId="0" applyFont="1" applyBorder="1" applyAlignment="1">
      <alignment horizontal="center" vertical="center"/>
    </xf>
    <xf numFmtId="0" fontId="86" fillId="0" borderId="13" xfId="0" applyFont="1" applyBorder="1" applyAlignment="1">
      <alignment horizontal="center" vertical="center"/>
    </xf>
    <xf numFmtId="0" fontId="86" fillId="0" borderId="11" xfId="0" applyFont="1" applyBorder="1" applyAlignment="1">
      <alignment horizontal="center" vertical="center"/>
    </xf>
    <xf numFmtId="0" fontId="96" fillId="0" borderId="0" xfId="0" applyFont="1" applyAlignment="1" applyProtection="1">
      <alignment vertical="center"/>
      <protection locked="0"/>
    </xf>
    <xf numFmtId="0" fontId="85" fillId="0" borderId="1" xfId="0" applyFont="1" applyBorder="1" applyAlignment="1">
      <alignment horizontal="left" vertical="center" wrapText="1"/>
    </xf>
    <xf numFmtId="0" fontId="85" fillId="3" borderId="14" xfId="0" applyFont="1" applyFill="1" applyBorder="1" applyAlignment="1" applyProtection="1">
      <alignment horizontal="left" vertical="top" wrapText="1"/>
      <protection locked="0"/>
    </xf>
    <xf numFmtId="0" fontId="85" fillId="3" borderId="12" xfId="0" applyFont="1" applyFill="1" applyBorder="1" applyAlignment="1" applyProtection="1">
      <alignment horizontal="left" vertical="top" wrapText="1"/>
      <protection locked="0"/>
    </xf>
    <xf numFmtId="0" fontId="85" fillId="3" borderId="16" xfId="0" applyFont="1" applyFill="1" applyBorder="1" applyAlignment="1" applyProtection="1">
      <alignment horizontal="left" vertical="top" wrapText="1"/>
      <protection locked="0"/>
    </xf>
    <xf numFmtId="0" fontId="85" fillId="3" borderId="8" xfId="0" applyFont="1" applyFill="1" applyBorder="1" applyAlignment="1" applyProtection="1">
      <alignment horizontal="left" vertical="top" wrapText="1"/>
      <protection locked="0"/>
    </xf>
    <xf numFmtId="0" fontId="85" fillId="3" borderId="7" xfId="0" applyFont="1" applyFill="1" applyBorder="1" applyAlignment="1" applyProtection="1">
      <alignment horizontal="left" vertical="top" wrapText="1"/>
      <protection locked="0"/>
    </xf>
    <xf numFmtId="0" fontId="85" fillId="3" borderId="5" xfId="0" applyFont="1" applyFill="1" applyBorder="1" applyAlignment="1" applyProtection="1">
      <alignment horizontal="left" vertical="top" wrapText="1"/>
      <protection locked="0"/>
    </xf>
    <xf numFmtId="0" fontId="85" fillId="3" borderId="6" xfId="0" applyFont="1" applyFill="1" applyBorder="1" applyAlignment="1" applyProtection="1">
      <alignment horizontal="left" vertical="top" wrapText="1"/>
      <protection locked="0"/>
    </xf>
    <xf numFmtId="0" fontId="85" fillId="3" borderId="15" xfId="0" applyFont="1" applyFill="1" applyBorder="1" applyAlignment="1" applyProtection="1">
      <alignment horizontal="left" vertical="top" wrapText="1"/>
      <protection locked="0"/>
    </xf>
    <xf numFmtId="0" fontId="85" fillId="26" borderId="16" xfId="0" applyFont="1" applyFill="1" applyBorder="1" applyAlignment="1">
      <alignment horizontal="left" vertical="center" wrapText="1"/>
    </xf>
    <xf numFmtId="0" fontId="85" fillId="26" borderId="7" xfId="0" applyFont="1" applyFill="1" applyBorder="1" applyAlignment="1">
      <alignment horizontal="left" vertical="center" wrapText="1"/>
    </xf>
    <xf numFmtId="0" fontId="85" fillId="26" borderId="15" xfId="0" applyFont="1" applyFill="1" applyBorder="1" applyAlignment="1">
      <alignment horizontal="left" vertical="center" wrapText="1"/>
    </xf>
    <xf numFmtId="0" fontId="85" fillId="26" borderId="1" xfId="0" applyFont="1" applyFill="1" applyBorder="1" applyAlignment="1" applyProtection="1">
      <alignment horizontal="center" vertical="center"/>
      <protection locked="0"/>
    </xf>
    <xf numFmtId="0" fontId="85" fillId="0" borderId="1" xfId="0" applyFont="1" applyBorder="1" applyAlignment="1">
      <alignment vertical="center" wrapText="1"/>
    </xf>
    <xf numFmtId="0" fontId="25" fillId="0" borderId="0" xfId="0" applyFont="1" applyAlignment="1" applyProtection="1">
      <alignment vertical="center"/>
      <protection locked="0"/>
    </xf>
    <xf numFmtId="0" fontId="86" fillId="26" borderId="12" xfId="0" applyFont="1" applyFill="1" applyBorder="1" applyAlignment="1">
      <alignment horizontal="left" vertical="center" wrapText="1"/>
    </xf>
    <xf numFmtId="0" fontId="86" fillId="26" borderId="16" xfId="0" applyFont="1" applyFill="1" applyBorder="1" applyAlignment="1">
      <alignment horizontal="left" vertical="center" wrapText="1"/>
    </xf>
    <xf numFmtId="0" fontId="86" fillId="26" borderId="6" xfId="0" applyFont="1" applyFill="1" applyBorder="1" applyAlignment="1">
      <alignment horizontal="left" vertical="center" wrapText="1"/>
    </xf>
    <xf numFmtId="0" fontId="86" fillId="26" borderId="15" xfId="0" applyFont="1" applyFill="1" applyBorder="1" applyAlignment="1">
      <alignment horizontal="left" vertical="center" wrapText="1"/>
    </xf>
    <xf numFmtId="0" fontId="85" fillId="3" borderId="1" xfId="0" applyFont="1" applyFill="1" applyBorder="1" applyAlignment="1" applyProtection="1">
      <alignment horizontal="center" vertical="center"/>
      <protection locked="0"/>
    </xf>
    <xf numFmtId="0" fontId="85" fillId="3" borderId="2" xfId="0" applyFont="1" applyFill="1" applyBorder="1" applyAlignment="1" applyProtection="1">
      <alignment horizontal="left" vertical="top" wrapText="1"/>
      <protection locked="0"/>
    </xf>
    <xf numFmtId="0" fontId="85" fillId="3" borderId="3" xfId="0" applyFont="1" applyFill="1" applyBorder="1" applyAlignment="1" applyProtection="1">
      <alignment horizontal="left" vertical="top" wrapText="1"/>
      <protection locked="0"/>
    </xf>
    <xf numFmtId="0" fontId="85" fillId="3" borderId="4" xfId="0" applyFont="1" applyFill="1" applyBorder="1" applyAlignment="1" applyProtection="1">
      <alignment horizontal="left" vertical="top" wrapText="1"/>
      <protection locked="0"/>
    </xf>
    <xf numFmtId="0" fontId="25" fillId="0" borderId="0" xfId="0" applyFont="1" applyAlignment="1" applyProtection="1">
      <alignment horizontal="left" vertical="center" wrapText="1"/>
      <protection locked="0"/>
    </xf>
    <xf numFmtId="0" fontId="25" fillId="0" borderId="0" xfId="0" applyFont="1" applyAlignment="1" applyProtection="1">
      <alignment horizontal="left" vertical="center"/>
      <protection locked="0"/>
    </xf>
    <xf numFmtId="0" fontId="25" fillId="0" borderId="0" xfId="0" applyFont="1" applyAlignment="1" applyProtection="1">
      <alignment horizontal="left" vertical="top" wrapText="1"/>
      <protection locked="0"/>
    </xf>
    <xf numFmtId="0" fontId="86" fillId="0" borderId="14" xfId="0" applyFont="1" applyBorder="1" applyAlignment="1">
      <alignment horizontal="center" vertical="center"/>
    </xf>
    <xf numFmtId="0" fontId="86" fillId="0" borderId="5" xfId="0" applyFont="1" applyBorder="1" applyAlignment="1">
      <alignment horizontal="center" vertical="center"/>
    </xf>
    <xf numFmtId="0" fontId="16" fillId="3" borderId="14" xfId="0" applyFont="1" applyFill="1" applyBorder="1" applyAlignment="1" applyProtection="1">
      <alignment horizontal="left" vertical="top"/>
      <protection locked="0"/>
    </xf>
    <xf numFmtId="0" fontId="16" fillId="3" borderId="12" xfId="0" applyFont="1" applyFill="1" applyBorder="1" applyAlignment="1" applyProtection="1">
      <alignment horizontal="left" vertical="top"/>
      <protection locked="0"/>
    </xf>
    <xf numFmtId="0" fontId="16" fillId="3" borderId="16" xfId="0" applyFont="1" applyFill="1" applyBorder="1" applyAlignment="1" applyProtection="1">
      <alignment horizontal="left" vertical="top"/>
      <protection locked="0"/>
    </xf>
    <xf numFmtId="0" fontId="16" fillId="3" borderId="5" xfId="0" applyFont="1" applyFill="1" applyBorder="1" applyAlignment="1" applyProtection="1">
      <alignment horizontal="left" vertical="top"/>
      <protection locked="0"/>
    </xf>
    <xf numFmtId="0" fontId="16" fillId="3" borderId="6" xfId="0" applyFont="1" applyFill="1" applyBorder="1" applyAlignment="1" applyProtection="1">
      <alignment horizontal="left" vertical="top"/>
      <protection locked="0"/>
    </xf>
    <xf numFmtId="0" fontId="16" fillId="3" borderId="15" xfId="0" applyFont="1" applyFill="1" applyBorder="1" applyAlignment="1" applyProtection="1">
      <alignment horizontal="left" vertical="top"/>
      <protection locked="0"/>
    </xf>
    <xf numFmtId="0" fontId="85" fillId="3" borderId="10" xfId="0" applyFont="1" applyFill="1" applyBorder="1" applyAlignment="1" applyProtection="1">
      <alignment horizontal="center" vertical="center"/>
      <protection locked="0"/>
    </xf>
    <xf numFmtId="0" fontId="85" fillId="3" borderId="11" xfId="0" applyFont="1" applyFill="1" applyBorder="1" applyAlignment="1" applyProtection="1">
      <alignment horizontal="center" vertical="center"/>
      <protection locked="0"/>
    </xf>
    <xf numFmtId="0" fontId="64" fillId="2" borderId="2" xfId="0" applyFont="1" applyFill="1" applyBorder="1" applyAlignment="1">
      <alignment vertical="center"/>
    </xf>
    <xf numFmtId="0" fontId="64" fillId="2" borderId="3" xfId="0" applyFont="1" applyFill="1" applyBorder="1" applyAlignment="1">
      <alignment vertical="center"/>
    </xf>
    <xf numFmtId="0" fontId="64" fillId="2" borderId="4" xfId="0" applyFont="1" applyFill="1" applyBorder="1" applyAlignment="1">
      <alignment vertical="center"/>
    </xf>
    <xf numFmtId="0" fontId="85" fillId="26" borderId="16" xfId="0" applyFont="1" applyFill="1" applyBorder="1" applyAlignment="1">
      <alignment vertical="center" wrapText="1"/>
    </xf>
    <xf numFmtId="0" fontId="85" fillId="26" borderId="7" xfId="0" applyFont="1" applyFill="1" applyBorder="1" applyAlignment="1">
      <alignment vertical="center" wrapText="1"/>
    </xf>
    <xf numFmtId="0" fontId="85" fillId="26" borderId="15" xfId="0" applyFont="1" applyFill="1" applyBorder="1" applyAlignment="1">
      <alignment vertical="center" wrapText="1"/>
    </xf>
    <xf numFmtId="0" fontId="85" fillId="26" borderId="10" xfId="0" applyFont="1" applyFill="1" applyBorder="1" applyAlignment="1">
      <alignment horizontal="left" vertical="center" wrapText="1"/>
    </xf>
    <xf numFmtId="0" fontId="85" fillId="26" borderId="11" xfId="0" applyFont="1" applyFill="1" applyBorder="1" applyAlignment="1">
      <alignment horizontal="left" vertical="center" wrapText="1"/>
    </xf>
    <xf numFmtId="0" fontId="85" fillId="0" borderId="2" xfId="0" applyFont="1" applyBorder="1" applyAlignment="1">
      <alignment horizontal="left" vertical="center" wrapText="1"/>
    </xf>
    <xf numFmtId="0" fontId="85" fillId="0" borderId="3" xfId="0" applyFont="1" applyBorder="1" applyAlignment="1">
      <alignment horizontal="left" vertical="center" wrapText="1"/>
    </xf>
    <xf numFmtId="0" fontId="85" fillId="0" borderId="4" xfId="0" applyFont="1" applyBorder="1" applyAlignment="1">
      <alignment horizontal="left" vertical="center" wrapText="1"/>
    </xf>
    <xf numFmtId="0" fontId="86" fillId="0" borderId="8" xfId="0" applyFont="1" applyBorder="1" applyAlignment="1">
      <alignment horizontal="center" vertical="center"/>
    </xf>
    <xf numFmtId="0" fontId="85" fillId="26" borderId="0" xfId="0" applyFont="1" applyFill="1" applyAlignment="1" applyProtection="1">
      <alignment horizontal="center" vertical="center"/>
      <protection locked="0"/>
    </xf>
    <xf numFmtId="0" fontId="85" fillId="3" borderId="14" xfId="0" applyFont="1" applyFill="1" applyBorder="1" applyAlignment="1" applyProtection="1">
      <alignment vertical="top" wrapText="1"/>
      <protection locked="0"/>
    </xf>
    <xf numFmtId="0" fontId="85" fillId="3" borderId="12" xfId="0" applyFont="1" applyFill="1" applyBorder="1" applyAlignment="1" applyProtection="1">
      <alignment vertical="top" wrapText="1"/>
      <protection locked="0"/>
    </xf>
    <xf numFmtId="0" fontId="85" fillId="3" borderId="16" xfId="0" applyFont="1" applyFill="1" applyBorder="1" applyAlignment="1" applyProtection="1">
      <alignment vertical="top" wrapText="1"/>
      <protection locked="0"/>
    </xf>
    <xf numFmtId="0" fontId="85" fillId="3" borderId="8" xfId="0" applyFont="1" applyFill="1" applyBorder="1" applyAlignment="1" applyProtection="1">
      <alignment vertical="top" wrapText="1"/>
      <protection locked="0"/>
    </xf>
    <xf numFmtId="0" fontId="85" fillId="3" borderId="0" xfId="0" applyFont="1" applyFill="1" applyAlignment="1" applyProtection="1">
      <alignment vertical="top" wrapText="1"/>
      <protection locked="0"/>
    </xf>
    <xf numFmtId="0" fontId="85" fillId="3" borderId="7" xfId="0" applyFont="1" applyFill="1" applyBorder="1" applyAlignment="1" applyProtection="1">
      <alignment vertical="top" wrapText="1"/>
      <protection locked="0"/>
    </xf>
    <xf numFmtId="0" fontId="86" fillId="0" borderId="0" xfId="0" applyFont="1" applyAlignment="1">
      <alignment horizontal="center" vertical="center"/>
    </xf>
    <xf numFmtId="0" fontId="64" fillId="2" borderId="14" xfId="0" applyFont="1" applyFill="1" applyBorder="1" applyAlignment="1">
      <alignment vertical="center"/>
    </xf>
    <xf numFmtId="0" fontId="64" fillId="2" borderId="12" xfId="0" applyFont="1" applyFill="1" applyBorder="1" applyAlignment="1">
      <alignment vertical="center"/>
    </xf>
    <xf numFmtId="0" fontId="64" fillId="2" borderId="7" xfId="0" applyFont="1" applyFill="1" applyBorder="1" applyAlignment="1">
      <alignment vertical="center"/>
    </xf>
    <xf numFmtId="0" fontId="85" fillId="23" borderId="2" xfId="0" applyFont="1" applyFill="1" applyBorder="1" applyAlignment="1">
      <alignment horizontal="left" vertical="center" wrapText="1"/>
    </xf>
    <xf numFmtId="0" fontId="85" fillId="23" borderId="4" xfId="0" applyFont="1" applyFill="1" applyBorder="1" applyAlignment="1">
      <alignment horizontal="left" vertical="center" wrapText="1"/>
    </xf>
    <xf numFmtId="0" fontId="85" fillId="3" borderId="13" xfId="0" applyFont="1" applyFill="1" applyBorder="1" applyAlignment="1" applyProtection="1">
      <alignment horizontal="center" vertical="center"/>
      <protection locked="0"/>
    </xf>
    <xf numFmtId="0" fontId="114" fillId="0" borderId="0" xfId="0" applyFont="1" applyAlignment="1">
      <alignment horizontal="right" vertical="center" wrapText="1"/>
    </xf>
    <xf numFmtId="0" fontId="64" fillId="2" borderId="2" xfId="0" applyFont="1" applyFill="1" applyBorder="1" applyAlignment="1">
      <alignment vertical="center" wrapText="1"/>
    </xf>
    <xf numFmtId="0" fontId="64" fillId="2" borderId="0" xfId="0" applyFont="1" applyFill="1" applyAlignment="1">
      <alignment horizontal="left" vertical="center" wrapText="1" indent="2"/>
    </xf>
    <xf numFmtId="0" fontId="64" fillId="2" borderId="0" xfId="0" applyFont="1" applyFill="1" applyAlignment="1">
      <alignment horizontal="left" vertical="center" indent="2"/>
    </xf>
    <xf numFmtId="0" fontId="120" fillId="6" borderId="0" xfId="0" applyFont="1" applyFill="1" applyAlignment="1">
      <alignment vertical="center" wrapText="1"/>
    </xf>
    <xf numFmtId="0" fontId="68" fillId="0" borderId="8" xfId="0" applyFont="1" applyBorder="1" applyAlignment="1">
      <alignment horizontal="center" vertical="center" wrapText="1"/>
    </xf>
    <xf numFmtId="0" fontId="68" fillId="0" borderId="0" xfId="0" applyFont="1" applyAlignment="1">
      <alignment horizontal="center" vertical="center" wrapText="1"/>
    </xf>
    <xf numFmtId="0" fontId="68" fillId="0" borderId="7" xfId="0" applyFont="1" applyBorder="1" applyAlignment="1">
      <alignment horizontal="center" vertical="center" wrapText="1"/>
    </xf>
    <xf numFmtId="0" fontId="68" fillId="0" borderId="5" xfId="0" applyFont="1" applyBorder="1" applyAlignment="1">
      <alignment horizontal="center" vertical="center" wrapText="1"/>
    </xf>
    <xf numFmtId="0" fontId="68" fillId="0" borderId="6" xfId="0" applyFont="1" applyBorder="1" applyAlignment="1">
      <alignment horizontal="center" vertical="center" wrapText="1"/>
    </xf>
    <xf numFmtId="0" fontId="68" fillId="0" borderId="15" xfId="0" applyFont="1" applyBorder="1" applyAlignment="1">
      <alignment horizontal="center" vertical="center" wrapText="1"/>
    </xf>
    <xf numFmtId="0" fontId="66" fillId="3" borderId="13" xfId="0" applyFont="1" applyFill="1" applyBorder="1" applyAlignment="1" applyProtection="1">
      <alignment horizontal="center" vertical="center" wrapText="1"/>
      <protection locked="0"/>
    </xf>
    <xf numFmtId="0" fontId="66" fillId="3" borderId="11" xfId="0" applyFont="1" applyFill="1" applyBorder="1" applyAlignment="1" applyProtection="1">
      <alignment horizontal="center" vertical="center" wrapText="1"/>
      <protection locked="0"/>
    </xf>
    <xf numFmtId="0" fontId="16" fillId="0" borderId="0" xfId="0" applyFont="1" applyAlignment="1" applyProtection="1">
      <alignment vertical="top" wrapText="1"/>
      <protection locked="0"/>
    </xf>
    <xf numFmtId="0" fontId="68" fillId="0" borderId="14" xfId="0" applyFont="1" applyBorder="1" applyAlignment="1">
      <alignment horizontal="center" vertical="center"/>
    </xf>
    <xf numFmtId="0" fontId="68" fillId="0" borderId="13" xfId="0" applyFont="1" applyBorder="1" applyAlignment="1">
      <alignment horizontal="center" vertical="center"/>
    </xf>
    <xf numFmtId="0" fontId="68" fillId="0" borderId="11" xfId="0" applyFont="1" applyBorder="1" applyAlignment="1">
      <alignment horizontal="center" vertical="center"/>
    </xf>
    <xf numFmtId="0" fontId="23" fillId="0" borderId="1" xfId="0" applyFont="1" applyBorder="1" applyAlignment="1">
      <alignment horizontal="left" vertical="center" wrapText="1"/>
    </xf>
    <xf numFmtId="0" fontId="23" fillId="3" borderId="14" xfId="0" applyFont="1" applyFill="1" applyBorder="1" applyAlignment="1" applyProtection="1">
      <alignment horizontal="center" vertical="center"/>
      <protection locked="0"/>
    </xf>
    <xf numFmtId="0" fontId="23" fillId="3" borderId="5" xfId="0" applyFont="1" applyFill="1" applyBorder="1" applyAlignment="1" applyProtection="1">
      <alignment horizontal="center" vertical="center"/>
      <protection locked="0"/>
    </xf>
    <xf numFmtId="0" fontId="87" fillId="26" borderId="10" xfId="0" applyFont="1" applyFill="1" applyBorder="1" applyAlignment="1" applyProtection="1">
      <alignment horizontal="center" vertical="center"/>
      <protection locked="0"/>
    </xf>
    <xf numFmtId="0" fontId="87" fillId="26" borderId="11" xfId="0" applyFont="1" applyFill="1" applyBorder="1" applyAlignment="1" applyProtection="1">
      <alignment horizontal="center" vertical="center"/>
      <protection locked="0"/>
    </xf>
    <xf numFmtId="0" fontId="85" fillId="3" borderId="2" xfId="0" applyFont="1" applyFill="1" applyBorder="1" applyAlignment="1">
      <alignment horizontal="left" vertical="center" wrapText="1"/>
    </xf>
    <xf numFmtId="0" fontId="85" fillId="3" borderId="3" xfId="0" applyFont="1" applyFill="1" applyBorder="1" applyAlignment="1">
      <alignment horizontal="left" vertical="center" wrapText="1"/>
    </xf>
    <xf numFmtId="0" fontId="85" fillId="3" borderId="4" xfId="0" applyFont="1" applyFill="1" applyBorder="1" applyAlignment="1">
      <alignment horizontal="left" vertical="center" wrapText="1"/>
    </xf>
    <xf numFmtId="0" fontId="22" fillId="0" borderId="14" xfId="0" applyFont="1" applyBorder="1" applyAlignment="1">
      <alignment horizontal="center" vertical="center"/>
    </xf>
    <xf numFmtId="0" fontId="22" fillId="0" borderId="11" xfId="0" applyFont="1" applyBorder="1" applyAlignment="1">
      <alignment horizontal="center" vertical="center"/>
    </xf>
    <xf numFmtId="0" fontId="23" fillId="3" borderId="12" xfId="0" applyFont="1" applyFill="1" applyBorder="1" applyAlignment="1" applyProtection="1">
      <alignment horizontal="left" vertical="top" wrapText="1"/>
      <protection locked="0"/>
    </xf>
    <xf numFmtId="0" fontId="23" fillId="3" borderId="16" xfId="0" applyFont="1" applyFill="1" applyBorder="1" applyAlignment="1" applyProtection="1">
      <alignment horizontal="left" vertical="top" wrapText="1"/>
      <protection locked="0"/>
    </xf>
    <xf numFmtId="0" fontId="23" fillId="3" borderId="5" xfId="0" applyFont="1" applyFill="1" applyBorder="1" applyAlignment="1" applyProtection="1">
      <alignment horizontal="left" vertical="top" wrapText="1"/>
      <protection locked="0"/>
    </xf>
    <xf numFmtId="0" fontId="23" fillId="3" borderId="6" xfId="0" applyFont="1" applyFill="1" applyBorder="1" applyAlignment="1" applyProtection="1">
      <alignment horizontal="left" vertical="top" wrapText="1"/>
      <protection locked="0"/>
    </xf>
    <xf numFmtId="0" fontId="23" fillId="3" borderId="15" xfId="0" applyFont="1" applyFill="1" applyBorder="1" applyAlignment="1" applyProtection="1">
      <alignment horizontal="left" vertical="top" wrapText="1"/>
      <protection locked="0"/>
    </xf>
    <xf numFmtId="0" fontId="87" fillId="26" borderId="16" xfId="0" applyFont="1" applyFill="1" applyBorder="1" applyAlignment="1">
      <alignment vertical="center" wrapText="1"/>
    </xf>
    <xf numFmtId="0" fontId="87" fillId="26" borderId="15" xfId="0" applyFont="1" applyFill="1" applyBorder="1" applyAlignment="1">
      <alignment vertical="center" wrapText="1"/>
    </xf>
    <xf numFmtId="0" fontId="85" fillId="26" borderId="1" xfId="0" applyFont="1" applyFill="1" applyBorder="1" applyAlignment="1">
      <alignment horizontal="left" vertical="center" wrapText="1"/>
    </xf>
    <xf numFmtId="0" fontId="23" fillId="0" borderId="12" xfId="0" applyFont="1" applyBorder="1" applyAlignment="1">
      <alignment horizontal="left" vertical="center" wrapText="1"/>
    </xf>
    <xf numFmtId="0" fontId="23" fillId="0" borderId="16" xfId="0" applyFont="1" applyBorder="1" applyAlignment="1">
      <alignment horizontal="left" vertical="center" wrapText="1"/>
    </xf>
    <xf numFmtId="0" fontId="23" fillId="3" borderId="14" xfId="0" applyFont="1" applyFill="1" applyBorder="1" applyAlignment="1" applyProtection="1">
      <alignment horizontal="left" vertical="top" wrapText="1"/>
      <protection locked="0"/>
    </xf>
    <xf numFmtId="0" fontId="71" fillId="6" borderId="0" xfId="0" applyFont="1" applyFill="1" applyAlignment="1">
      <alignment horizontal="center" vertical="center" wrapText="1"/>
    </xf>
    <xf numFmtId="0" fontId="39" fillId="6" borderId="0" xfId="0" applyFont="1" applyFill="1" applyAlignment="1">
      <alignment horizontal="center" vertical="center"/>
    </xf>
    <xf numFmtId="0" fontId="85" fillId="3" borderId="14" xfId="0" applyFont="1" applyFill="1" applyBorder="1" applyAlignment="1" applyProtection="1">
      <alignment horizontal="center" vertical="center"/>
      <protection locked="0"/>
    </xf>
    <xf numFmtId="0" fontId="85" fillId="3" borderId="5" xfId="0" applyFont="1" applyFill="1" applyBorder="1" applyAlignment="1" applyProtection="1">
      <alignment horizontal="center" vertical="center"/>
      <protection locked="0"/>
    </xf>
    <xf numFmtId="0" fontId="86" fillId="0" borderId="14" xfId="0" applyFont="1" applyBorder="1" applyAlignment="1">
      <alignment horizontal="center" vertical="center" wrapText="1"/>
    </xf>
    <xf numFmtId="0" fontId="86" fillId="0" borderId="13" xfId="0" applyFont="1" applyBorder="1" applyAlignment="1">
      <alignment horizontal="center" vertical="center" wrapText="1"/>
    </xf>
    <xf numFmtId="0" fontId="86" fillId="0" borderId="11" xfId="0" applyFont="1" applyBorder="1" applyAlignment="1">
      <alignment horizontal="center" vertical="center" wrapText="1"/>
    </xf>
    <xf numFmtId="0" fontId="81" fillId="24" borderId="0" xfId="0" applyFont="1" applyFill="1" applyAlignment="1">
      <alignment horizontal="left" vertical="center"/>
    </xf>
    <xf numFmtId="0" fontId="87" fillId="0" borderId="8" xfId="0" applyFont="1" applyBorder="1" applyAlignment="1">
      <alignment horizontal="left" vertical="center" wrapText="1"/>
    </xf>
    <xf numFmtId="0" fontId="87" fillId="0" borderId="0" xfId="0" applyFont="1" applyAlignment="1">
      <alignment horizontal="left" vertical="center" wrapText="1"/>
    </xf>
    <xf numFmtId="0" fontId="87" fillId="0" borderId="7" xfId="0" applyFont="1" applyBorder="1" applyAlignment="1">
      <alignment horizontal="left" vertical="center" wrapText="1"/>
    </xf>
    <xf numFmtId="0" fontId="87" fillId="0" borderId="2" xfId="0" applyFont="1" applyBorder="1" applyAlignment="1">
      <alignment horizontal="left" vertical="center" wrapText="1"/>
    </xf>
    <xf numFmtId="0" fontId="87" fillId="0" borderId="3" xfId="0" applyFont="1" applyBorder="1" applyAlignment="1">
      <alignment horizontal="left" vertical="center" wrapText="1"/>
    </xf>
    <xf numFmtId="0" fontId="87" fillId="0" borderId="4" xfId="0" applyFont="1" applyBorder="1" applyAlignment="1">
      <alignment horizontal="left" vertical="center" wrapText="1"/>
    </xf>
    <xf numFmtId="0" fontId="87" fillId="3" borderId="2" xfId="0" applyFont="1" applyFill="1" applyBorder="1" applyAlignment="1" applyProtection="1">
      <alignment horizontal="left" vertical="top" wrapText="1"/>
      <protection locked="0"/>
    </xf>
    <xf numFmtId="0" fontId="87" fillId="3" borderId="3" xfId="0" applyFont="1" applyFill="1" applyBorder="1" applyAlignment="1" applyProtection="1">
      <alignment horizontal="left" vertical="top" wrapText="1"/>
      <protection locked="0"/>
    </xf>
    <xf numFmtId="0" fontId="87" fillId="3" borderId="4" xfId="0" applyFont="1" applyFill="1" applyBorder="1" applyAlignment="1" applyProtection="1">
      <alignment horizontal="left" vertical="top" wrapText="1"/>
      <protection locked="0"/>
    </xf>
    <xf numFmtId="0" fontId="95" fillId="3" borderId="2" xfId="0" applyFont="1" applyFill="1" applyBorder="1" applyAlignment="1" applyProtection="1">
      <alignment horizontal="left" vertical="top" wrapText="1"/>
      <protection locked="0"/>
    </xf>
    <xf numFmtId="0" fontId="95" fillId="3" borderId="3" xfId="0" applyFont="1" applyFill="1" applyBorder="1" applyAlignment="1" applyProtection="1">
      <alignment horizontal="left" vertical="top" wrapText="1"/>
      <protection locked="0"/>
    </xf>
    <xf numFmtId="0" fontId="95" fillId="3" borderId="4" xfId="0" applyFont="1" applyFill="1" applyBorder="1" applyAlignment="1" applyProtection="1">
      <alignment horizontal="left" vertical="top" wrapText="1"/>
      <protection locked="0"/>
    </xf>
    <xf numFmtId="0" fontId="62" fillId="24" borderId="0" xfId="0" applyFont="1" applyFill="1" applyAlignment="1">
      <alignment horizontal="center" vertical="center"/>
    </xf>
    <xf numFmtId="0" fontId="112" fillId="31" borderId="8" xfId="0" applyFont="1" applyFill="1" applyBorder="1" applyAlignment="1">
      <alignment horizontal="center" vertical="center"/>
    </xf>
    <xf numFmtId="0" fontId="112" fillId="31" borderId="0" xfId="0" applyFont="1" applyFill="1" applyAlignment="1">
      <alignment horizontal="center" vertical="center"/>
    </xf>
    <xf numFmtId="0" fontId="112" fillId="31" borderId="7" xfId="0" applyFont="1" applyFill="1" applyBorder="1" applyAlignment="1">
      <alignment horizontal="center" vertical="center"/>
    </xf>
    <xf numFmtId="0" fontId="71" fillId="6" borderId="2" xfId="0" applyFont="1" applyFill="1" applyBorder="1" applyAlignment="1">
      <alignment horizontal="center" vertical="center"/>
    </xf>
    <xf numFmtId="0" fontId="71" fillId="6" borderId="3" xfId="0" applyFont="1" applyFill="1" applyBorder="1" applyAlignment="1">
      <alignment horizontal="center" vertical="center"/>
    </xf>
    <xf numFmtId="0" fontId="71" fillId="6" borderId="4" xfId="0" applyFont="1" applyFill="1" applyBorder="1" applyAlignment="1">
      <alignment horizontal="center" vertical="center"/>
    </xf>
    <xf numFmtId="0" fontId="89" fillId="22" borderId="14" xfId="0" applyFont="1" applyFill="1" applyBorder="1" applyAlignment="1">
      <alignment vertical="center"/>
    </xf>
    <xf numFmtId="0" fontId="89" fillId="22" borderId="12" xfId="0" applyFont="1" applyFill="1" applyBorder="1" applyAlignment="1">
      <alignment vertical="center"/>
    </xf>
    <xf numFmtId="0" fontId="89" fillId="22" borderId="16" xfId="0" applyFont="1" applyFill="1" applyBorder="1" applyAlignment="1">
      <alignment vertical="center"/>
    </xf>
    <xf numFmtId="0" fontId="87" fillId="0" borderId="1" xfId="0" applyFont="1" applyBorder="1" applyAlignment="1">
      <alignment horizontal="left" vertical="center" wrapText="1" indent="1"/>
    </xf>
    <xf numFmtId="0" fontId="82" fillId="5" borderId="6" xfId="1" applyFont="1" applyFill="1" applyBorder="1" applyAlignment="1" applyProtection="1">
      <alignment vertical="center" wrapText="1"/>
      <protection locked="0"/>
    </xf>
    <xf numFmtId="0" fontId="82" fillId="5" borderId="15" xfId="1" applyFont="1" applyFill="1" applyBorder="1" applyAlignment="1" applyProtection="1">
      <alignment vertical="center" wrapText="1"/>
      <protection locked="0"/>
    </xf>
    <xf numFmtId="0" fontId="82" fillId="5" borderId="0" xfId="1" applyFont="1" applyFill="1" applyAlignment="1" applyProtection="1">
      <alignment vertical="center" wrapText="1"/>
      <protection locked="0"/>
    </xf>
    <xf numFmtId="0" fontId="82" fillId="5" borderId="6" xfId="1" applyFont="1" applyFill="1" applyBorder="1" applyAlignment="1" applyProtection="1">
      <alignment horizontal="center" vertical="center" wrapText="1"/>
      <protection locked="0"/>
    </xf>
    <xf numFmtId="0" fontId="16" fillId="29" borderId="0" xfId="0" applyFont="1" applyFill="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63" fillId="6" borderId="3" xfId="0" applyFont="1" applyFill="1" applyBorder="1" applyAlignment="1" applyProtection="1">
      <alignment wrapText="1"/>
      <protection locked="0"/>
    </xf>
    <xf numFmtId="0" fontId="62" fillId="24" borderId="0" xfId="0" applyFont="1" applyFill="1" applyAlignment="1">
      <alignment horizontal="center" vertical="center" wrapText="1"/>
    </xf>
    <xf numFmtId="0" fontId="62" fillId="24" borderId="7" xfId="0" applyFont="1" applyFill="1" applyBorder="1" applyAlignment="1">
      <alignment horizontal="center" vertical="center" wrapText="1"/>
    </xf>
    <xf numFmtId="0" fontId="68" fillId="0" borderId="0" xfId="0" applyFont="1" applyAlignment="1">
      <alignment horizontal="center" vertical="center"/>
    </xf>
    <xf numFmtId="0" fontId="16" fillId="0" borderId="0" xfId="0" applyFont="1" applyAlignment="1">
      <alignment vertical="center" wrapText="1"/>
    </xf>
    <xf numFmtId="0" fontId="16" fillId="3" borderId="0" xfId="0" applyFont="1" applyFill="1" applyAlignment="1" applyProtection="1">
      <alignment horizontal="left" vertical="top" wrapText="1"/>
      <protection locked="0"/>
    </xf>
    <xf numFmtId="49" fontId="90" fillId="12" borderId="14" xfId="0" applyNumberFormat="1" applyFont="1" applyFill="1" applyBorder="1" applyAlignment="1" applyProtection="1">
      <alignment horizontal="left" vertical="center" wrapText="1"/>
      <protection locked="0"/>
    </xf>
    <xf numFmtId="49" fontId="90" fillId="12" borderId="12" xfId="0" applyNumberFormat="1" applyFont="1" applyFill="1" applyBorder="1" applyAlignment="1" applyProtection="1">
      <alignment horizontal="left" vertical="center" wrapText="1"/>
      <protection locked="0"/>
    </xf>
    <xf numFmtId="49" fontId="90" fillId="12" borderId="8" xfId="0" applyNumberFormat="1" applyFont="1" applyFill="1" applyBorder="1" applyAlignment="1" applyProtection="1">
      <alignment horizontal="left" vertical="center" wrapText="1"/>
      <protection locked="0"/>
    </xf>
    <xf numFmtId="49" fontId="90" fillId="12" borderId="0" xfId="0" applyNumberFormat="1" applyFont="1" applyFill="1" applyAlignment="1" applyProtection="1">
      <alignment horizontal="left" vertical="center" wrapText="1"/>
      <protection locked="0"/>
    </xf>
    <xf numFmtId="0" fontId="16" fillId="26" borderId="10" xfId="0" applyFont="1" applyFill="1" applyBorder="1" applyAlignment="1">
      <alignment horizontal="left" vertical="center" wrapText="1"/>
    </xf>
    <xf numFmtId="0" fontId="23" fillId="0" borderId="11" xfId="0" applyFont="1" applyBorder="1" applyAlignment="1">
      <alignment horizontal="left" vertical="center" wrapText="1"/>
    </xf>
    <xf numFmtId="0" fontId="0" fillId="0" borderId="11" xfId="0" applyBorder="1" applyAlignment="1" applyProtection="1">
      <alignment horizontal="center" vertical="center"/>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49" fontId="85" fillId="3" borderId="10"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85" fillId="26" borderId="12" xfId="0" applyFont="1" applyFill="1" applyBorder="1" applyAlignment="1" applyProtection="1">
      <alignment horizontal="center" vertical="center"/>
      <protection locked="0"/>
    </xf>
    <xf numFmtId="0" fontId="85" fillId="3" borderId="16" xfId="0" applyFont="1" applyFill="1" applyBorder="1" applyAlignment="1" applyProtection="1">
      <alignment horizontal="center" vertical="center"/>
      <protection locked="0"/>
    </xf>
    <xf numFmtId="0" fontId="85" fillId="3" borderId="15" xfId="0" applyFont="1" applyFill="1" applyBorder="1" applyAlignment="1" applyProtection="1">
      <alignment horizontal="center" vertical="center"/>
      <protection locked="0"/>
    </xf>
    <xf numFmtId="0" fontId="85" fillId="3" borderId="5" xfId="0" applyFont="1" applyFill="1" applyBorder="1" applyAlignment="1" applyProtection="1">
      <alignment vertical="top" wrapText="1"/>
      <protection locked="0"/>
    </xf>
    <xf numFmtId="0" fontId="85" fillId="3" borderId="6" xfId="0" applyFont="1" applyFill="1" applyBorder="1" applyAlignment="1" applyProtection="1">
      <alignment vertical="top" wrapText="1"/>
      <protection locked="0"/>
    </xf>
    <xf numFmtId="0" fontId="85" fillId="3" borderId="15" xfId="0" applyFont="1" applyFill="1" applyBorder="1" applyAlignment="1" applyProtection="1">
      <alignment vertical="top" wrapText="1"/>
      <protection locked="0"/>
    </xf>
    <xf numFmtId="0" fontId="85" fillId="3" borderId="5" xfId="0" applyFont="1" applyFill="1" applyBorder="1" applyAlignment="1">
      <alignment horizontal="left" vertical="center" wrapText="1"/>
    </xf>
    <xf numFmtId="0" fontId="85" fillId="3" borderId="6" xfId="0" applyFont="1" applyFill="1" applyBorder="1" applyAlignment="1">
      <alignment horizontal="left" vertical="center" wrapText="1"/>
    </xf>
    <xf numFmtId="0" fontId="85" fillId="3" borderId="15" xfId="0" applyFont="1" applyFill="1" applyBorder="1" applyAlignment="1">
      <alignment horizontal="left" vertical="center" wrapText="1"/>
    </xf>
    <xf numFmtId="0" fontId="85" fillId="26" borderId="14" xfId="0" applyFont="1" applyFill="1" applyBorder="1" applyAlignment="1">
      <alignment horizontal="left" vertical="center" wrapText="1"/>
    </xf>
    <xf numFmtId="0" fontId="85" fillId="3" borderId="5" xfId="0" applyFont="1" applyFill="1" applyBorder="1" applyAlignment="1">
      <alignment horizontal="left" vertical="top" wrapText="1"/>
    </xf>
    <xf numFmtId="0" fontId="85" fillId="3" borderId="6" xfId="0" applyFont="1" applyFill="1" applyBorder="1" applyAlignment="1">
      <alignment horizontal="left" vertical="top" wrapText="1"/>
    </xf>
    <xf numFmtId="0" fontId="85" fillId="3" borderId="15" xfId="0" applyFont="1" applyFill="1" applyBorder="1" applyAlignment="1">
      <alignment horizontal="left" vertical="top" wrapText="1"/>
    </xf>
    <xf numFmtId="0" fontId="94" fillId="0" borderId="14" xfId="0" applyFont="1" applyBorder="1" applyAlignment="1">
      <alignment horizontal="center" vertical="center"/>
    </xf>
    <xf numFmtId="0" fontId="94" fillId="0" borderId="13" xfId="0" applyFont="1" applyBorder="1" applyAlignment="1">
      <alignment horizontal="center" vertical="center"/>
    </xf>
    <xf numFmtId="0" fontId="94" fillId="0" borderId="11" xfId="0" applyFont="1" applyBorder="1" applyAlignment="1">
      <alignment horizontal="center" vertical="center"/>
    </xf>
    <xf numFmtId="0" fontId="95" fillId="26" borderId="16" xfId="0" applyFont="1" applyFill="1" applyBorder="1" applyAlignment="1">
      <alignment vertical="center" wrapText="1"/>
    </xf>
    <xf numFmtId="0" fontId="95" fillId="26" borderId="15" xfId="0" applyFont="1" applyFill="1" applyBorder="1" applyAlignment="1">
      <alignment vertical="center" wrapText="1"/>
    </xf>
    <xf numFmtId="0" fontId="95" fillId="3" borderId="12" xfId="0" applyFont="1" applyFill="1" applyBorder="1" applyAlignment="1" applyProtection="1">
      <alignment horizontal="center" vertical="center"/>
      <protection locked="0"/>
    </xf>
    <xf numFmtId="0" fontId="95" fillId="3" borderId="0" xfId="0" applyFont="1" applyFill="1" applyAlignment="1" applyProtection="1">
      <alignment horizontal="center" vertical="center"/>
      <protection locked="0"/>
    </xf>
    <xf numFmtId="0" fontId="95" fillId="3" borderId="6" xfId="0" applyFont="1" applyFill="1" applyBorder="1" applyAlignment="1" applyProtection="1">
      <alignment horizontal="center" vertical="center"/>
      <protection locked="0"/>
    </xf>
    <xf numFmtId="0" fontId="95" fillId="0" borderId="14" xfId="0" applyFont="1" applyBorder="1" applyAlignment="1">
      <alignment vertical="center" wrapText="1"/>
    </xf>
    <xf numFmtId="0" fontId="95" fillId="0" borderId="12" xfId="0" applyFont="1" applyBorder="1" applyAlignment="1">
      <alignment vertical="center" wrapText="1"/>
    </xf>
    <xf numFmtId="0" fontId="95" fillId="0" borderId="16" xfId="0" applyFont="1" applyBorder="1" applyAlignment="1">
      <alignment vertical="center" wrapText="1"/>
    </xf>
    <xf numFmtId="0" fontId="95" fillId="0" borderId="8" xfId="0" applyFont="1" applyBorder="1" applyAlignment="1">
      <alignment vertical="center" wrapText="1"/>
    </xf>
    <xf numFmtId="0" fontId="95" fillId="0" borderId="0" xfId="0" applyFont="1" applyAlignment="1">
      <alignment vertical="center" wrapText="1"/>
    </xf>
    <xf numFmtId="0" fontId="95" fillId="0" borderId="7" xfId="0" applyFont="1" applyBorder="1" applyAlignment="1">
      <alignment vertical="center" wrapText="1"/>
    </xf>
    <xf numFmtId="0" fontId="87" fillId="26" borderId="2" xfId="0" applyFont="1" applyFill="1" applyBorder="1" applyAlignment="1" applyProtection="1">
      <alignment horizontal="center" vertical="center"/>
      <protection locked="0"/>
    </xf>
    <xf numFmtId="0" fontId="87" fillId="26" borderId="4" xfId="0" applyFont="1" applyFill="1" applyBorder="1" applyAlignment="1" applyProtection="1">
      <alignment horizontal="center" vertical="center"/>
      <protection locked="0"/>
    </xf>
    <xf numFmtId="0" fontId="85" fillId="3" borderId="1" xfId="0" applyFont="1" applyFill="1" applyBorder="1" applyAlignment="1" applyProtection="1">
      <alignment horizontal="left" vertical="top" wrapText="1"/>
      <protection locked="0"/>
    </xf>
    <xf numFmtId="0" fontId="70" fillId="0" borderId="0" xfId="0" applyFont="1" applyAlignment="1" applyProtection="1">
      <alignment horizontal="left" vertical="center"/>
      <protection locked="0"/>
    </xf>
    <xf numFmtId="0" fontId="66" fillId="0" borderId="0" xfId="0" applyFont="1" applyAlignment="1">
      <alignment vertical="center"/>
    </xf>
    <xf numFmtId="0" fontId="68" fillId="0" borderId="10" xfId="0" applyFont="1" applyBorder="1" applyAlignment="1">
      <alignment horizontal="center" vertical="center"/>
    </xf>
    <xf numFmtId="0" fontId="16" fillId="3" borderId="14" xfId="0" applyFont="1" applyFill="1" applyBorder="1" applyAlignment="1" applyProtection="1">
      <alignment horizontal="left" vertical="top" wrapText="1"/>
      <protection locked="0"/>
    </xf>
    <xf numFmtId="0" fontId="16" fillId="3" borderId="12" xfId="0" applyFont="1" applyFill="1" applyBorder="1" applyAlignment="1" applyProtection="1">
      <alignment horizontal="left" vertical="top" wrapText="1"/>
      <protection locked="0"/>
    </xf>
    <xf numFmtId="0" fontId="16" fillId="3" borderId="16" xfId="0" applyFont="1" applyFill="1" applyBorder="1" applyAlignment="1" applyProtection="1">
      <alignment horizontal="left" vertical="top" wrapText="1"/>
      <protection locked="0"/>
    </xf>
    <xf numFmtId="0" fontId="16" fillId="3" borderId="8" xfId="0" applyFont="1" applyFill="1" applyBorder="1" applyAlignment="1" applyProtection="1">
      <alignment horizontal="left" vertical="top" wrapText="1"/>
      <protection locked="0"/>
    </xf>
    <xf numFmtId="0" fontId="16" fillId="3" borderId="7" xfId="0" applyFont="1" applyFill="1" applyBorder="1" applyAlignment="1" applyProtection="1">
      <alignment horizontal="left" vertical="top" wrapText="1"/>
      <protection locked="0"/>
    </xf>
    <xf numFmtId="0" fontId="16" fillId="3" borderId="5" xfId="0" applyFont="1" applyFill="1" applyBorder="1" applyAlignment="1" applyProtection="1">
      <alignment horizontal="left" vertical="top" wrapText="1"/>
      <protection locked="0"/>
    </xf>
    <xf numFmtId="0" fontId="16" fillId="3" borderId="6" xfId="0" applyFont="1" applyFill="1" applyBorder="1" applyAlignment="1" applyProtection="1">
      <alignment horizontal="left" vertical="top" wrapText="1"/>
      <protection locked="0"/>
    </xf>
    <xf numFmtId="0" fontId="16" fillId="3" borderId="15" xfId="0" applyFont="1" applyFill="1" applyBorder="1" applyAlignment="1" applyProtection="1">
      <alignment horizontal="left" vertical="top" wrapText="1"/>
      <protection locked="0"/>
    </xf>
    <xf numFmtId="0" fontId="16" fillId="0" borderId="1" xfId="0" applyFont="1" applyBorder="1" applyAlignment="1">
      <alignment horizontal="left" vertical="center" wrapText="1"/>
    </xf>
    <xf numFmtId="0" fontId="85" fillId="26" borderId="13" xfId="0" applyFont="1" applyFill="1" applyBorder="1" applyAlignment="1" applyProtection="1">
      <alignment horizontal="center" vertical="center"/>
      <protection locked="0"/>
    </xf>
    <xf numFmtId="0" fontId="85" fillId="0" borderId="2" xfId="0" applyFont="1" applyBorder="1" applyAlignment="1">
      <alignment horizontal="right" vertical="center" wrapText="1"/>
    </xf>
    <xf numFmtId="0" fontId="85" fillId="0" borderId="3" xfId="0" applyFont="1" applyBorder="1" applyAlignment="1">
      <alignment horizontal="right" vertical="center"/>
    </xf>
    <xf numFmtId="0" fontId="85" fillId="0" borderId="4" xfId="0" applyFont="1" applyBorder="1" applyAlignment="1">
      <alignment horizontal="right" vertical="center"/>
    </xf>
    <xf numFmtId="0" fontId="71" fillId="6" borderId="0" xfId="0" applyFont="1" applyFill="1" applyAlignment="1">
      <alignment horizontal="center" vertical="center"/>
    </xf>
    <xf numFmtId="0" fontId="63" fillId="0" borderId="0" xfId="0" applyFont="1" applyAlignment="1">
      <alignment horizontal="right"/>
    </xf>
    <xf numFmtId="0" fontId="68" fillId="0" borderId="0" xfId="0" applyFont="1" applyAlignment="1">
      <alignment horizontal="left" vertical="center"/>
    </xf>
    <xf numFmtId="0" fontId="85" fillId="0" borderId="3" xfId="0" applyFont="1" applyBorder="1" applyAlignment="1">
      <alignment horizontal="right" vertical="center" wrapText="1"/>
    </xf>
    <xf numFmtId="0" fontId="85" fillId="0" borderId="4" xfId="0" applyFont="1" applyBorder="1" applyAlignment="1">
      <alignment horizontal="right" vertical="center" wrapText="1"/>
    </xf>
    <xf numFmtId="0" fontId="80" fillId="24" borderId="14" xfId="0" applyFont="1" applyFill="1" applyBorder="1" applyAlignment="1">
      <alignment horizontal="center" vertical="center"/>
    </xf>
    <xf numFmtId="0" fontId="80" fillId="24" borderId="12" xfId="0" applyFont="1" applyFill="1" applyBorder="1" applyAlignment="1">
      <alignment horizontal="center" vertical="center"/>
    </xf>
    <xf numFmtId="0" fontId="80" fillId="24" borderId="16" xfId="0" applyFont="1" applyFill="1" applyBorder="1" applyAlignment="1">
      <alignment horizontal="center" vertical="center"/>
    </xf>
    <xf numFmtId="0" fontId="85" fillId="7" borderId="14" xfId="0" applyFont="1" applyFill="1" applyBorder="1" applyAlignment="1">
      <alignment horizontal="center" vertical="center" wrapText="1"/>
    </xf>
    <xf numFmtId="0" fontId="85" fillId="7" borderId="16" xfId="0" applyFont="1" applyFill="1" applyBorder="1" applyAlignment="1">
      <alignment horizontal="center" vertical="center" wrapText="1"/>
    </xf>
    <xf numFmtId="0" fontId="87" fillId="3" borderId="10" xfId="0" applyFont="1" applyFill="1" applyBorder="1" applyAlignment="1" applyProtection="1">
      <alignment horizontal="center" vertical="center"/>
      <protection locked="0"/>
    </xf>
    <xf numFmtId="0" fontId="87" fillId="3" borderId="11" xfId="0" applyFont="1" applyFill="1" applyBorder="1" applyAlignment="1" applyProtection="1">
      <alignment horizontal="center" vertical="center"/>
      <protection locked="0"/>
    </xf>
    <xf numFmtId="0" fontId="68" fillId="6" borderId="2" xfId="0" applyFont="1" applyFill="1" applyBorder="1" applyAlignment="1">
      <alignment horizontal="center" vertical="center" wrapText="1"/>
    </xf>
    <xf numFmtId="0" fontId="68" fillId="6" borderId="3" xfId="0" applyFont="1" applyFill="1" applyBorder="1" applyAlignment="1">
      <alignment horizontal="center" vertical="center" wrapText="1"/>
    </xf>
    <xf numFmtId="0" fontId="70" fillId="0" borderId="0" xfId="0" applyFont="1" applyAlignment="1" applyProtection="1">
      <alignment horizontal="left" vertical="top" wrapText="1"/>
      <protection locked="0"/>
    </xf>
    <xf numFmtId="0" fontId="63" fillId="0" borderId="0" xfId="0" applyFont="1" applyAlignment="1">
      <alignment vertical="center" wrapText="1"/>
    </xf>
    <xf numFmtId="0" fontId="63" fillId="0" borderId="0" xfId="0" applyFont="1" applyAlignment="1">
      <alignment horizontal="right" vertical="center"/>
    </xf>
    <xf numFmtId="0" fontId="99" fillId="0" borderId="2" xfId="0" applyFont="1" applyBorder="1" applyAlignment="1">
      <alignment horizontal="right" vertical="center" wrapText="1"/>
    </xf>
    <xf numFmtId="0" fontId="99" fillId="0" borderId="3" xfId="0" applyFont="1" applyBorder="1" applyAlignment="1">
      <alignment horizontal="right" vertical="center" wrapText="1"/>
    </xf>
    <xf numFmtId="0" fontId="99" fillId="0" borderId="4" xfId="0" applyFont="1" applyBorder="1" applyAlignment="1">
      <alignment horizontal="right" vertical="center" wrapText="1"/>
    </xf>
    <xf numFmtId="0" fontId="70" fillId="0" borderId="0" xfId="0" applyFont="1" applyAlignment="1" applyProtection="1">
      <alignment vertical="center"/>
      <protection locked="0"/>
    </xf>
    <xf numFmtId="0" fontId="63" fillId="0" borderId="0" xfId="0" applyFont="1"/>
    <xf numFmtId="0" fontId="100" fillId="0" borderId="0" xfId="0" applyFont="1" applyAlignment="1">
      <alignment horizontal="right" vertical="center" wrapText="1"/>
    </xf>
    <xf numFmtId="0" fontId="64" fillId="6" borderId="0" xfId="0" applyFont="1" applyFill="1" applyAlignment="1">
      <alignment horizontal="center" vertical="center"/>
    </xf>
    <xf numFmtId="0" fontId="67" fillId="6" borderId="0" xfId="0" applyFont="1" applyFill="1" applyAlignment="1">
      <alignment vertical="center"/>
    </xf>
    <xf numFmtId="0" fontId="63" fillId="0" borderId="0" xfId="0" applyFont="1" applyAlignment="1">
      <alignment vertical="center"/>
    </xf>
    <xf numFmtId="0" fontId="63" fillId="0" borderId="0" xfId="0" applyFont="1" applyAlignment="1">
      <alignment horizontal="left" vertical="center"/>
    </xf>
    <xf numFmtId="0" fontId="64" fillId="15" borderId="14" xfId="0" applyFont="1" applyFill="1" applyBorder="1" applyAlignment="1">
      <alignment vertical="center"/>
    </xf>
    <xf numFmtId="0" fontId="64" fillId="15" borderId="12" xfId="0" applyFont="1" applyFill="1" applyBorder="1" applyAlignment="1">
      <alignment vertical="center"/>
    </xf>
    <xf numFmtId="0" fontId="64" fillId="15" borderId="16" xfId="0" applyFont="1" applyFill="1" applyBorder="1" applyAlignment="1">
      <alignment vertical="center"/>
    </xf>
    <xf numFmtId="0" fontId="63" fillId="3" borderId="12" xfId="0" applyFont="1" applyFill="1" applyBorder="1" applyAlignment="1" applyProtection="1">
      <alignment horizontal="left" vertical="top" wrapText="1"/>
      <protection locked="0"/>
    </xf>
    <xf numFmtId="0" fontId="63" fillId="3" borderId="16" xfId="0" applyFont="1" applyFill="1" applyBorder="1" applyAlignment="1" applyProtection="1">
      <alignment horizontal="left" vertical="top" wrapText="1"/>
      <protection locked="0"/>
    </xf>
    <xf numFmtId="0" fontId="63" fillId="3" borderId="8" xfId="0" applyFont="1" applyFill="1" applyBorder="1" applyAlignment="1" applyProtection="1">
      <alignment horizontal="left" vertical="top" wrapText="1"/>
      <protection locked="0"/>
    </xf>
    <xf numFmtId="0" fontId="63" fillId="3" borderId="0" xfId="0" applyFont="1" applyFill="1" applyAlignment="1" applyProtection="1">
      <alignment horizontal="left" vertical="top" wrapText="1"/>
      <protection locked="0"/>
    </xf>
    <xf numFmtId="0" fontId="63" fillId="3" borderId="7" xfId="0" applyFont="1" applyFill="1" applyBorder="1" applyAlignment="1" applyProtection="1">
      <alignment horizontal="left" vertical="top" wrapText="1"/>
      <protection locked="0"/>
    </xf>
    <xf numFmtId="0" fontId="63" fillId="3" borderId="5" xfId="0" applyFont="1" applyFill="1" applyBorder="1" applyAlignment="1" applyProtection="1">
      <alignment horizontal="left" vertical="top" wrapText="1"/>
      <protection locked="0"/>
    </xf>
    <xf numFmtId="0" fontId="63" fillId="3" borderId="6" xfId="0" applyFont="1" applyFill="1" applyBorder="1" applyAlignment="1" applyProtection="1">
      <alignment horizontal="left" vertical="top" wrapText="1"/>
      <protection locked="0"/>
    </xf>
    <xf numFmtId="0" fontId="63" fillId="3" borderId="15" xfId="0" applyFont="1" applyFill="1" applyBorder="1" applyAlignment="1" applyProtection="1">
      <alignment horizontal="left" vertical="top" wrapText="1"/>
      <protection locked="0"/>
    </xf>
    <xf numFmtId="0" fontId="69" fillId="24" borderId="0" xfId="0" applyFont="1" applyFill="1" applyAlignment="1">
      <alignment horizontal="center" vertical="center" wrapText="1"/>
    </xf>
    <xf numFmtId="0" fontId="85" fillId="7" borderId="14" xfId="0" applyFont="1" applyFill="1" applyBorder="1" applyAlignment="1">
      <alignment horizontal="left" vertical="center" wrapText="1"/>
    </xf>
    <xf numFmtId="0" fontId="85" fillId="7" borderId="16" xfId="0" applyFont="1" applyFill="1" applyBorder="1" applyAlignment="1">
      <alignment horizontal="left" vertical="center" wrapText="1"/>
    </xf>
    <xf numFmtId="0" fontId="16" fillId="3" borderId="1" xfId="0" applyFont="1" applyFill="1" applyBorder="1" applyAlignment="1" applyProtection="1">
      <alignment horizontal="center" vertical="center"/>
      <protection locked="0"/>
    </xf>
    <xf numFmtId="0" fontId="86" fillId="26" borderId="2" xfId="0" applyFont="1" applyFill="1" applyBorder="1" applyAlignment="1">
      <alignment vertical="center" wrapText="1"/>
    </xf>
    <xf numFmtId="0" fontId="86" fillId="26" borderId="4" xfId="0" applyFont="1" applyFill="1" applyBorder="1" applyAlignment="1">
      <alignment vertical="center" wrapText="1"/>
    </xf>
    <xf numFmtId="0" fontId="85" fillId="26" borderId="10" xfId="0" applyFont="1" applyFill="1" applyBorder="1" applyAlignment="1">
      <alignment vertical="center" wrapText="1"/>
    </xf>
    <xf numFmtId="0" fontId="85" fillId="26" borderId="13" xfId="0" applyFont="1" applyFill="1" applyBorder="1" applyAlignment="1">
      <alignment vertical="center" wrapText="1"/>
    </xf>
    <xf numFmtId="0" fontId="85" fillId="26" borderId="11" xfId="0" applyFont="1" applyFill="1" applyBorder="1" applyAlignment="1">
      <alignment vertical="center" wrapText="1"/>
    </xf>
    <xf numFmtId="0" fontId="98" fillId="0" borderId="2" xfId="0" applyFont="1" applyBorder="1" applyAlignment="1">
      <alignment vertical="center" wrapText="1"/>
    </xf>
    <xf numFmtId="0" fontId="98" fillId="0" borderId="3" xfId="0" applyFont="1" applyBorder="1" applyAlignment="1">
      <alignment vertical="center"/>
    </xf>
    <xf numFmtId="0" fontId="92" fillId="0" borderId="14" xfId="0" applyFont="1" applyBorder="1" applyAlignment="1">
      <alignment horizontal="center" vertical="center"/>
    </xf>
    <xf numFmtId="0" fontId="92" fillId="0" borderId="5" xfId="0" applyFont="1" applyBorder="1" applyAlignment="1">
      <alignment horizontal="center" vertical="center"/>
    </xf>
    <xf numFmtId="0" fontId="87" fillId="3" borderId="14" xfId="0" applyFont="1" applyFill="1" applyBorder="1" applyAlignment="1" applyProtection="1">
      <alignment horizontal="left" vertical="top" wrapText="1"/>
      <protection locked="0"/>
    </xf>
    <xf numFmtId="0" fontId="87" fillId="3" borderId="12" xfId="0" applyFont="1" applyFill="1" applyBorder="1" applyAlignment="1" applyProtection="1">
      <alignment horizontal="left" vertical="top" wrapText="1"/>
      <protection locked="0"/>
    </xf>
    <xf numFmtId="0" fontId="87" fillId="3" borderId="16" xfId="0" applyFont="1" applyFill="1" applyBorder="1" applyAlignment="1" applyProtection="1">
      <alignment horizontal="left" vertical="top" wrapText="1"/>
      <protection locked="0"/>
    </xf>
    <xf numFmtId="0" fontId="87" fillId="3" borderId="5" xfId="0" applyFont="1" applyFill="1" applyBorder="1" applyAlignment="1" applyProtection="1">
      <alignment horizontal="left" vertical="top" wrapText="1"/>
      <protection locked="0"/>
    </xf>
    <xf numFmtId="0" fontId="87" fillId="3" borderId="6" xfId="0" applyFont="1" applyFill="1" applyBorder="1" applyAlignment="1" applyProtection="1">
      <alignment horizontal="left" vertical="top" wrapText="1"/>
      <protection locked="0"/>
    </xf>
    <xf numFmtId="0" fontId="87" fillId="3" borderId="15" xfId="0" applyFont="1" applyFill="1" applyBorder="1" applyAlignment="1" applyProtection="1">
      <alignment horizontal="left" vertical="top" wrapText="1"/>
      <protection locked="0"/>
    </xf>
    <xf numFmtId="0" fontId="71" fillId="3" borderId="1" xfId="0" applyFont="1" applyFill="1" applyBorder="1" applyAlignment="1">
      <alignment horizontal="center" vertical="center"/>
    </xf>
    <xf numFmtId="0" fontId="85" fillId="3" borderId="7" xfId="0" applyFont="1" applyFill="1" applyBorder="1" applyAlignment="1" applyProtection="1">
      <alignment horizontal="center" vertical="center"/>
      <protection locked="0"/>
    </xf>
    <xf numFmtId="0" fontId="85" fillId="7" borderId="5" xfId="0" applyFont="1" applyFill="1" applyBorder="1" applyAlignment="1">
      <alignment horizontal="center" vertical="center" wrapText="1"/>
    </xf>
    <xf numFmtId="0" fontId="85" fillId="7" borderId="15" xfId="0" applyFont="1" applyFill="1" applyBorder="1" applyAlignment="1">
      <alignment horizontal="center" vertical="center" wrapText="1"/>
    </xf>
    <xf numFmtId="0" fontId="22" fillId="22" borderId="0" xfId="0" applyFont="1" applyFill="1" applyAlignment="1">
      <alignment horizontal="left" vertical="center" wrapText="1"/>
    </xf>
    <xf numFmtId="0" fontId="23" fillId="22" borderId="0" xfId="0" applyFont="1" applyFill="1" applyAlignment="1">
      <alignment horizontal="left" vertical="center"/>
    </xf>
    <xf numFmtId="0" fontId="96" fillId="0" borderId="0" xfId="0" applyFont="1" applyAlignment="1" applyProtection="1">
      <alignment horizontal="left" vertical="center" wrapText="1"/>
      <protection locked="0"/>
    </xf>
    <xf numFmtId="0" fontId="95" fillId="3" borderId="12" xfId="0" applyFont="1" applyFill="1" applyBorder="1" applyAlignment="1" applyProtection="1">
      <alignment horizontal="left" vertical="top" wrapText="1"/>
      <protection locked="0"/>
    </xf>
    <xf numFmtId="0" fontId="95" fillId="3" borderId="16" xfId="0" applyFont="1" applyFill="1" applyBorder="1" applyAlignment="1" applyProtection="1">
      <alignment horizontal="left" vertical="top" wrapText="1"/>
      <protection locked="0"/>
    </xf>
    <xf numFmtId="0" fontId="95" fillId="3" borderId="8" xfId="0" applyFont="1" applyFill="1" applyBorder="1" applyAlignment="1" applyProtection="1">
      <alignment horizontal="left" vertical="top" wrapText="1"/>
      <protection locked="0"/>
    </xf>
    <xf numFmtId="0" fontId="95" fillId="3" borderId="0" xfId="0" applyFont="1" applyFill="1" applyAlignment="1" applyProtection="1">
      <alignment horizontal="left" vertical="top" wrapText="1"/>
      <protection locked="0"/>
    </xf>
    <xf numFmtId="0" fontId="95" fillId="3" borderId="7" xfId="0" applyFont="1" applyFill="1" applyBorder="1" applyAlignment="1" applyProtection="1">
      <alignment horizontal="left" vertical="top" wrapText="1"/>
      <protection locked="0"/>
    </xf>
    <xf numFmtId="0" fontId="95" fillId="3" borderId="5" xfId="0" applyFont="1" applyFill="1" applyBorder="1" applyAlignment="1" applyProtection="1">
      <alignment horizontal="left" vertical="top" wrapText="1"/>
      <protection locked="0"/>
    </xf>
    <xf numFmtId="0" fontId="95" fillId="3" borderId="6" xfId="0" applyFont="1" applyFill="1" applyBorder="1" applyAlignment="1" applyProtection="1">
      <alignment horizontal="left" vertical="top" wrapText="1"/>
      <protection locked="0"/>
    </xf>
    <xf numFmtId="0" fontId="95" fillId="3" borderId="15" xfId="0" applyFont="1" applyFill="1" applyBorder="1" applyAlignment="1" applyProtection="1">
      <alignment horizontal="left" vertical="top" wrapText="1"/>
      <protection locked="0"/>
    </xf>
    <xf numFmtId="0" fontId="64" fillId="2" borderId="16" xfId="0" applyFont="1" applyFill="1" applyBorder="1" applyAlignment="1">
      <alignment vertical="center"/>
    </xf>
    <xf numFmtId="0" fontId="95" fillId="0" borderId="8" xfId="0" applyFont="1" applyBorder="1" applyAlignment="1">
      <alignment horizontal="left" vertical="center" wrapText="1"/>
    </xf>
    <xf numFmtId="0" fontId="95" fillId="0" borderId="0" xfId="0" applyFont="1" applyAlignment="1">
      <alignment horizontal="left" vertical="center" wrapText="1"/>
    </xf>
    <xf numFmtId="0" fontId="95" fillId="0" borderId="7" xfId="0" applyFont="1" applyBorder="1" applyAlignment="1">
      <alignment horizontal="left" vertical="center" wrapText="1"/>
    </xf>
    <xf numFmtId="0" fontId="87" fillId="0" borderId="14" xfId="0" applyFont="1" applyBorder="1" applyAlignment="1">
      <alignment horizontal="left" vertical="center" wrapText="1"/>
    </xf>
    <xf numFmtId="0" fontId="87" fillId="0" borderId="12" xfId="0" applyFont="1" applyBorder="1" applyAlignment="1">
      <alignment horizontal="left" vertical="center" wrapText="1"/>
    </xf>
    <xf numFmtId="0" fontId="87" fillId="0" borderId="16" xfId="0" applyFont="1" applyBorder="1" applyAlignment="1">
      <alignment horizontal="left" vertical="center" wrapText="1"/>
    </xf>
    <xf numFmtId="0" fontId="87" fillId="0" borderId="5" xfId="0" applyFont="1" applyBorder="1" applyAlignment="1">
      <alignment horizontal="left" vertical="center" wrapText="1"/>
    </xf>
    <xf numFmtId="0" fontId="87" fillId="0" borderId="6" xfId="0" applyFont="1" applyBorder="1" applyAlignment="1">
      <alignment horizontal="left" vertical="center" wrapText="1"/>
    </xf>
    <xf numFmtId="0" fontId="87" fillId="0" borderId="15" xfId="0" applyFont="1" applyBorder="1" applyAlignment="1">
      <alignment horizontal="left" vertical="center" wrapText="1"/>
    </xf>
    <xf numFmtId="0" fontId="95" fillId="0" borderId="5" xfId="0" applyFont="1" applyBorder="1" applyAlignment="1">
      <alignment horizontal="left" vertical="center" wrapText="1"/>
    </xf>
    <xf numFmtId="0" fontId="95" fillId="0" borderId="6" xfId="0" applyFont="1" applyBorder="1" applyAlignment="1">
      <alignment horizontal="left" vertical="center" wrapText="1"/>
    </xf>
    <xf numFmtId="0" fontId="95" fillId="0" borderId="15" xfId="0" applyFont="1" applyBorder="1" applyAlignment="1">
      <alignment horizontal="left" vertical="center" wrapText="1"/>
    </xf>
    <xf numFmtId="0" fontId="64" fillId="2" borderId="2" xfId="0" applyFont="1" applyFill="1" applyBorder="1" applyAlignment="1">
      <alignment horizontal="left" vertical="center" wrapText="1" indent="2"/>
    </xf>
    <xf numFmtId="0" fontId="64" fillId="2" borderId="3" xfId="0" applyFont="1" applyFill="1" applyBorder="1" applyAlignment="1">
      <alignment horizontal="left" vertical="center" indent="2"/>
    </xf>
    <xf numFmtId="0" fontId="64" fillId="2" borderId="4" xfId="0" applyFont="1" applyFill="1" applyBorder="1" applyAlignment="1">
      <alignment horizontal="left" vertical="center" indent="2"/>
    </xf>
    <xf numFmtId="0" fontId="64" fillId="2" borderId="6" xfId="0" applyFont="1" applyFill="1" applyBorder="1" applyAlignment="1">
      <alignment horizontal="left" vertical="center" indent="2"/>
    </xf>
    <xf numFmtId="0" fontId="64" fillId="2" borderId="15" xfId="0" applyFont="1" applyFill="1" applyBorder="1" applyAlignment="1">
      <alignment horizontal="left" vertical="center" indent="2"/>
    </xf>
    <xf numFmtId="0" fontId="86" fillId="0" borderId="10" xfId="0" applyFont="1" applyBorder="1" applyAlignment="1">
      <alignment horizontal="center" vertical="center" wrapText="1"/>
    </xf>
    <xf numFmtId="0" fontId="85" fillId="6" borderId="2" xfId="0" applyFont="1" applyFill="1" applyBorder="1" applyAlignment="1">
      <alignment horizontal="left" vertical="center" wrapText="1"/>
    </xf>
    <xf numFmtId="0" fontId="85" fillId="6" borderId="3" xfId="0" applyFont="1" applyFill="1" applyBorder="1" applyAlignment="1">
      <alignment horizontal="left" vertical="center" wrapText="1"/>
    </xf>
    <xf numFmtId="0" fontId="85" fillId="6" borderId="4" xfId="0" applyFont="1" applyFill="1" applyBorder="1" applyAlignment="1">
      <alignment horizontal="left" vertical="center" wrapText="1"/>
    </xf>
    <xf numFmtId="0" fontId="67" fillId="6" borderId="14" xfId="0" applyFont="1" applyFill="1" applyBorder="1" applyAlignment="1">
      <alignment horizontal="right" vertical="center" wrapText="1"/>
    </xf>
    <xf numFmtId="0" fontId="67" fillId="6" borderId="16" xfId="0" applyFont="1" applyFill="1" applyBorder="1" applyAlignment="1">
      <alignment horizontal="right" vertical="center" wrapText="1"/>
    </xf>
    <xf numFmtId="0" fontId="68" fillId="0" borderId="8" xfId="0" applyFont="1" applyBorder="1" applyAlignment="1">
      <alignment horizontal="left" vertical="center" wrapText="1"/>
    </xf>
    <xf numFmtId="0" fontId="68" fillId="0" borderId="0" xfId="0" applyFont="1" applyAlignment="1">
      <alignment horizontal="left" vertical="center" wrapText="1"/>
    </xf>
    <xf numFmtId="0" fontId="64" fillId="2" borderId="1" xfId="0" applyFont="1" applyFill="1" applyBorder="1" applyAlignment="1">
      <alignment vertical="center" wrapText="1"/>
    </xf>
    <xf numFmtId="0" fontId="85" fillId="0" borderId="10" xfId="0" applyFont="1" applyBorder="1" applyAlignment="1">
      <alignment horizontal="left" vertical="center" wrapText="1"/>
    </xf>
    <xf numFmtId="0" fontId="68" fillId="6" borderId="12" xfId="0" applyFont="1" applyFill="1" applyBorder="1" applyAlignment="1">
      <alignment vertical="center" wrapText="1"/>
    </xf>
    <xf numFmtId="0" fontId="68" fillId="6" borderId="16" xfId="0" applyFont="1" applyFill="1" applyBorder="1" applyAlignment="1">
      <alignment vertical="center" wrapText="1"/>
    </xf>
    <xf numFmtId="0" fontId="68" fillId="0" borderId="0" xfId="0" applyFont="1" applyAlignment="1">
      <alignment vertical="center" wrapText="1"/>
    </xf>
    <xf numFmtId="0" fontId="66" fillId="26" borderId="2" xfId="0" applyFont="1" applyFill="1" applyBorder="1" applyAlignment="1">
      <alignment vertical="center" wrapText="1"/>
    </xf>
    <xf numFmtId="0" fontId="66" fillId="26" borderId="4" xfId="0" applyFont="1" applyFill="1" applyBorder="1" applyAlignment="1">
      <alignment vertical="center" wrapText="1"/>
    </xf>
    <xf numFmtId="0" fontId="68" fillId="6" borderId="0" xfId="0" applyFont="1" applyFill="1" applyAlignment="1">
      <alignment horizontal="center" vertical="center" wrapText="1"/>
    </xf>
    <xf numFmtId="0" fontId="16" fillId="6" borderId="0" xfId="0" applyFont="1" applyFill="1" applyAlignment="1" applyProtection="1">
      <alignment vertical="top" wrapText="1"/>
      <protection locked="0"/>
    </xf>
    <xf numFmtId="0" fontId="114" fillId="0" borderId="0" xfId="0" applyFont="1" applyAlignment="1">
      <alignment vertical="center" wrapText="1"/>
    </xf>
    <xf numFmtId="0" fontId="86" fillId="6" borderId="0" xfId="0" applyFont="1" applyFill="1" applyAlignment="1" applyProtection="1">
      <alignment horizontal="center" vertical="center" wrapText="1"/>
      <protection locked="0"/>
    </xf>
    <xf numFmtId="0" fontId="22" fillId="0" borderId="0" xfId="0" applyFont="1" applyAlignment="1">
      <alignment horizontal="center" wrapText="1"/>
    </xf>
    <xf numFmtId="0" fontId="16" fillId="2" borderId="0" xfId="0" applyFont="1" applyFill="1" applyAlignment="1" applyProtection="1">
      <alignment horizontal="left" vertical="top" wrapText="1"/>
      <protection locked="0"/>
    </xf>
    <xf numFmtId="0" fontId="114" fillId="0" borderId="8" xfId="0" applyFont="1" applyBorder="1" applyAlignment="1">
      <alignment horizontal="left" vertical="center" wrapText="1"/>
    </xf>
    <xf numFmtId="0" fontId="114" fillId="0" borderId="7" xfId="0" applyFont="1" applyBorder="1" applyAlignment="1">
      <alignment horizontal="left" vertical="center" wrapText="1"/>
    </xf>
    <xf numFmtId="0" fontId="94" fillId="26" borderId="3" xfId="0" applyFont="1" applyFill="1" applyBorder="1" applyAlignment="1">
      <alignment horizontal="left" vertical="center" wrapText="1"/>
    </xf>
    <xf numFmtId="0" fontId="94" fillId="26" borderId="4" xfId="0" applyFont="1" applyFill="1" applyBorder="1" applyAlignment="1">
      <alignment horizontal="left" vertical="center" wrapText="1"/>
    </xf>
    <xf numFmtId="0" fontId="104" fillId="6" borderId="0" xfId="0" applyFont="1" applyFill="1" applyAlignment="1">
      <alignment horizontal="left"/>
    </xf>
    <xf numFmtId="0" fontId="101" fillId="3" borderId="2" xfId="0" applyFont="1" applyFill="1" applyBorder="1" applyAlignment="1">
      <alignment horizontal="left" vertical="center"/>
    </xf>
    <xf numFmtId="0" fontId="101" fillId="3" borderId="4" xfId="0" applyFont="1" applyFill="1" applyBorder="1" applyAlignment="1">
      <alignment horizontal="left" vertical="center"/>
    </xf>
    <xf numFmtId="0" fontId="101" fillId="3" borderId="2" xfId="0" applyFont="1" applyFill="1" applyBorder="1" applyAlignment="1" applyProtection="1">
      <alignment horizontal="left" vertical="center"/>
      <protection locked="0"/>
    </xf>
    <xf numFmtId="0" fontId="101" fillId="3" borderId="4" xfId="0" applyFont="1" applyFill="1" applyBorder="1" applyAlignment="1" applyProtection="1">
      <alignment horizontal="left" vertical="center"/>
      <protection locked="0"/>
    </xf>
    <xf numFmtId="0" fontId="94" fillId="6" borderId="2" xfId="0" applyFont="1" applyFill="1" applyBorder="1" applyAlignment="1">
      <alignment horizontal="center" vertical="center"/>
    </xf>
    <xf numFmtId="0" fontId="94" fillId="6" borderId="4" xfId="0" applyFont="1" applyFill="1" applyBorder="1" applyAlignment="1">
      <alignment horizontal="center" vertical="center"/>
    </xf>
    <xf numFmtId="0" fontId="118" fillId="0" borderId="2" xfId="0" applyFont="1" applyBorder="1" applyAlignment="1" applyProtection="1">
      <alignment horizontal="left" vertical="center" wrapText="1"/>
      <protection locked="0"/>
    </xf>
    <xf numFmtId="0" fontId="118" fillId="0" borderId="4" xfId="0" applyFont="1" applyBorder="1" applyAlignment="1" applyProtection="1">
      <alignment horizontal="left" vertical="center" wrapText="1"/>
      <protection locked="0"/>
    </xf>
    <xf numFmtId="0" fontId="91" fillId="0" borderId="2" xfId="0" applyFont="1" applyBorder="1" applyAlignment="1" applyProtection="1">
      <alignment horizontal="left" vertical="top" wrapText="1"/>
      <protection locked="0"/>
    </xf>
    <xf numFmtId="0" fontId="91" fillId="0" borderId="3" xfId="0" applyFont="1" applyBorder="1" applyAlignment="1" applyProtection="1">
      <alignment horizontal="left" vertical="top" wrapText="1"/>
      <protection locked="0"/>
    </xf>
    <xf numFmtId="0" fontId="91" fillId="0" borderId="4" xfId="0" applyFont="1" applyBorder="1" applyAlignment="1" applyProtection="1">
      <alignment horizontal="left" vertical="top" wrapText="1"/>
      <protection locked="0"/>
    </xf>
    <xf numFmtId="0" fontId="102" fillId="6" borderId="1" xfId="0" applyFont="1" applyFill="1" applyBorder="1" applyAlignment="1" applyProtection="1">
      <alignment horizontal="left" vertical="center" wrapText="1"/>
      <protection locked="0"/>
    </xf>
    <xf numFmtId="0" fontId="102" fillId="6" borderId="2" xfId="0" applyFont="1" applyFill="1" applyBorder="1" applyAlignment="1" applyProtection="1">
      <alignment horizontal="left" vertical="center" wrapText="1"/>
      <protection locked="0"/>
    </xf>
    <xf numFmtId="0" fontId="102" fillId="6" borderId="3" xfId="0" applyFont="1" applyFill="1" applyBorder="1" applyAlignment="1" applyProtection="1">
      <alignment horizontal="left" vertical="center" wrapText="1"/>
      <protection locked="0"/>
    </xf>
    <xf numFmtId="0" fontId="102" fillId="6" borderId="4" xfId="0" applyFont="1" applyFill="1" applyBorder="1" applyAlignment="1" applyProtection="1">
      <alignment horizontal="left" vertical="center" wrapText="1"/>
      <protection locked="0"/>
    </xf>
    <xf numFmtId="0" fontId="86" fillId="22" borderId="6" xfId="0" applyFont="1" applyFill="1" applyBorder="1" applyAlignment="1">
      <alignment horizontal="center" vertical="center"/>
    </xf>
    <xf numFmtId="0" fontId="86" fillId="22" borderId="15" xfId="0" applyFont="1" applyFill="1" applyBorder="1" applyAlignment="1">
      <alignment horizontal="center" vertical="center"/>
    </xf>
    <xf numFmtId="0" fontId="65" fillId="24" borderId="5" xfId="0" applyFont="1" applyFill="1" applyBorder="1" applyAlignment="1">
      <alignment horizontal="left" vertical="center" wrapText="1" indent="1"/>
    </xf>
    <xf numFmtId="0" fontId="64" fillId="24" borderId="6" xfId="0" applyFont="1" applyFill="1" applyBorder="1" applyAlignment="1">
      <alignment horizontal="left" vertical="center" indent="1"/>
    </xf>
    <xf numFmtId="0" fontId="64" fillId="24" borderId="15" xfId="0" applyFont="1" applyFill="1" applyBorder="1" applyAlignment="1">
      <alignment horizontal="left" vertical="center" indent="1"/>
    </xf>
    <xf numFmtId="0" fontId="71" fillId="3" borderId="14" xfId="0" applyFont="1" applyFill="1" applyBorder="1" applyAlignment="1">
      <alignment horizontal="center" vertical="center"/>
    </xf>
    <xf numFmtId="0" fontId="71" fillId="3" borderId="12" xfId="0" applyFont="1" applyFill="1" applyBorder="1" applyAlignment="1">
      <alignment horizontal="center" vertical="center"/>
    </xf>
    <xf numFmtId="0" fontId="71" fillId="3" borderId="16" xfId="0" applyFont="1" applyFill="1" applyBorder="1" applyAlignment="1">
      <alignment horizontal="center" vertical="center"/>
    </xf>
    <xf numFmtId="0" fontId="99" fillId="0" borderId="3" xfId="0" applyFont="1" applyBorder="1" applyAlignment="1" applyProtection="1">
      <alignment horizontal="left" vertical="center" wrapText="1"/>
      <protection locked="0"/>
    </xf>
    <xf numFmtId="0" fontId="99" fillId="0" borderId="4" xfId="0" applyFont="1" applyBorder="1" applyAlignment="1" applyProtection="1">
      <alignment horizontal="left" vertical="center" wrapText="1"/>
      <protection locked="0"/>
    </xf>
    <xf numFmtId="0" fontId="86" fillId="22" borderId="5" xfId="0" applyFont="1" applyFill="1" applyBorder="1" applyAlignment="1">
      <alignment horizontal="center" vertical="center"/>
    </xf>
    <xf numFmtId="0" fontId="71" fillId="3" borderId="3" xfId="0" applyFont="1" applyFill="1" applyBorder="1" applyAlignment="1">
      <alignment horizontal="center" vertical="center"/>
    </xf>
    <xf numFmtId="0" fontId="71" fillId="3" borderId="4" xfId="0" applyFont="1" applyFill="1" applyBorder="1" applyAlignment="1">
      <alignment horizontal="center" vertical="center"/>
    </xf>
    <xf numFmtId="0" fontId="106" fillId="5" borderId="2" xfId="0" applyFont="1" applyFill="1" applyBorder="1" applyAlignment="1">
      <alignment vertical="center" wrapText="1"/>
    </xf>
    <xf numFmtId="0" fontId="106" fillId="5" borderId="3" xfId="0" applyFont="1" applyFill="1" applyBorder="1" applyAlignment="1">
      <alignment vertical="center"/>
    </xf>
    <xf numFmtId="0" fontId="106" fillId="5" borderId="4" xfId="0" applyFont="1" applyFill="1" applyBorder="1" applyAlignment="1">
      <alignment vertical="center"/>
    </xf>
    <xf numFmtId="0" fontId="74" fillId="24" borderId="5" xfId="0" applyFont="1" applyFill="1" applyBorder="1" applyAlignment="1">
      <alignment horizontal="left" vertical="center"/>
    </xf>
    <xf numFmtId="0" fontId="74" fillId="24" borderId="6" xfId="0" applyFont="1" applyFill="1" applyBorder="1" applyAlignment="1">
      <alignment horizontal="left" vertical="center"/>
    </xf>
    <xf numFmtId="0" fontId="62" fillId="24" borderId="6" xfId="0" applyFont="1" applyFill="1" applyBorder="1" applyAlignment="1">
      <alignment horizontal="left" vertical="center"/>
    </xf>
    <xf numFmtId="0" fontId="62" fillId="24" borderId="15" xfId="0" applyFont="1" applyFill="1" applyBorder="1" applyAlignment="1">
      <alignment horizontal="left" vertical="center"/>
    </xf>
    <xf numFmtId="0" fontId="51" fillId="0" borderId="0" xfId="0" applyFont="1" applyAlignment="1">
      <alignment horizontal="center" vertical="center"/>
    </xf>
    <xf numFmtId="0" fontId="118" fillId="0" borderId="14" xfId="0" applyFont="1" applyBorder="1" applyAlignment="1" applyProtection="1">
      <alignment horizontal="left" vertical="center"/>
      <protection locked="0"/>
    </xf>
    <xf numFmtId="0" fontId="118" fillId="0" borderId="16" xfId="0" applyFont="1" applyBorder="1" applyAlignment="1" applyProtection="1">
      <alignment horizontal="left" vertical="center"/>
      <protection locked="0"/>
    </xf>
    <xf numFmtId="0" fontId="91" fillId="0" borderId="14" xfId="0" applyFont="1" applyBorder="1" applyAlignment="1" applyProtection="1">
      <alignment horizontal="left" vertical="top" wrapText="1"/>
      <protection locked="0"/>
    </xf>
    <xf numFmtId="0" fontId="91" fillId="0" borderId="12" xfId="0" applyFont="1" applyBorder="1" applyAlignment="1" applyProtection="1">
      <alignment horizontal="left" vertical="top" wrapText="1"/>
      <protection locked="0"/>
    </xf>
    <xf numFmtId="0" fontId="91" fillId="0" borderId="16" xfId="0" applyFont="1" applyBorder="1" applyAlignment="1" applyProtection="1">
      <alignment horizontal="left" vertical="top" wrapText="1"/>
      <protection locked="0"/>
    </xf>
    <xf numFmtId="0" fontId="64" fillId="22" borderId="2" xfId="0" applyFont="1" applyFill="1" applyBorder="1" applyAlignment="1">
      <alignment horizontal="left" vertical="center" wrapText="1" indent="1"/>
    </xf>
    <xf numFmtId="0" fontId="64" fillId="22" borderId="3" xfId="0" applyFont="1" applyFill="1" applyBorder="1" applyAlignment="1">
      <alignment horizontal="left" vertical="center" indent="1"/>
    </xf>
    <xf numFmtId="0" fontId="64" fillId="22" borderId="4" xfId="0" applyFont="1" applyFill="1" applyBorder="1" applyAlignment="1">
      <alignment horizontal="left" vertical="center" indent="1"/>
    </xf>
    <xf numFmtId="0" fontId="94" fillId="6" borderId="0" xfId="0" applyFont="1" applyFill="1"/>
    <xf numFmtId="0" fontId="101" fillId="6" borderId="2" xfId="0" applyFont="1" applyFill="1" applyBorder="1" applyAlignment="1" applyProtection="1">
      <alignment vertical="center" wrapText="1"/>
      <protection locked="0"/>
    </xf>
    <xf numFmtId="0" fontId="101" fillId="6" borderId="3" xfId="0" applyFont="1" applyFill="1" applyBorder="1" applyAlignment="1" applyProtection="1">
      <alignment vertical="center" wrapText="1"/>
      <protection locked="0"/>
    </xf>
    <xf numFmtId="0" fontId="101" fillId="6" borderId="4" xfId="0" applyFont="1" applyFill="1" applyBorder="1" applyAlignment="1" applyProtection="1">
      <alignment vertical="center" wrapText="1"/>
      <protection locked="0"/>
    </xf>
    <xf numFmtId="0" fontId="107" fillId="5" borderId="0" xfId="0" applyFont="1" applyFill="1" applyAlignment="1">
      <alignment horizontal="left" vertical="center" wrapText="1"/>
    </xf>
    <xf numFmtId="0" fontId="118" fillId="0" borderId="2" xfId="0" applyFont="1" applyBorder="1" applyAlignment="1" applyProtection="1">
      <alignment horizontal="left" vertical="center"/>
      <protection locked="0"/>
    </xf>
    <xf numFmtId="0" fontId="118" fillId="0" borderId="4" xfId="0" applyFont="1" applyBorder="1" applyAlignment="1" applyProtection="1">
      <alignment horizontal="left" vertical="center"/>
      <protection locked="0"/>
    </xf>
    <xf numFmtId="0" fontId="88" fillId="5" borderId="8" xfId="0" applyFont="1" applyFill="1" applyBorder="1" applyAlignment="1">
      <alignment vertical="center" wrapText="1"/>
    </xf>
    <xf numFmtId="0" fontId="88" fillId="5" borderId="0" xfId="0" applyFont="1" applyFill="1" applyAlignment="1">
      <alignment vertical="center"/>
    </xf>
    <xf numFmtId="0" fontId="88" fillId="5" borderId="7" xfId="0" applyFont="1" applyFill="1" applyBorder="1" applyAlignment="1">
      <alignment vertical="center"/>
    </xf>
    <xf numFmtId="0" fontId="81" fillId="24" borderId="0" xfId="0" applyFont="1" applyFill="1" applyAlignment="1">
      <alignment horizontal="left"/>
    </xf>
    <xf numFmtId="0" fontId="81" fillId="24" borderId="7" xfId="0" applyFont="1" applyFill="1" applyBorder="1" applyAlignment="1">
      <alignment horizontal="left"/>
    </xf>
    <xf numFmtId="0" fontId="11" fillId="31" borderId="5" xfId="0" applyFont="1" applyFill="1" applyBorder="1" applyAlignment="1">
      <alignment horizontal="center" vertical="center"/>
    </xf>
    <xf numFmtId="0" fontId="11" fillId="31" borderId="6" xfId="0" applyFont="1" applyFill="1" applyBorder="1" applyAlignment="1">
      <alignment horizontal="center" vertical="center"/>
    </xf>
    <xf numFmtId="0" fontId="11" fillId="31" borderId="15" xfId="0" applyFont="1" applyFill="1" applyBorder="1" applyAlignment="1">
      <alignment horizontal="center" vertical="center"/>
    </xf>
    <xf numFmtId="0" fontId="90" fillId="5" borderId="8" xfId="0" applyFont="1" applyFill="1" applyBorder="1" applyAlignment="1">
      <alignment horizontal="center" vertical="center" wrapText="1"/>
    </xf>
    <xf numFmtId="0" fontId="90" fillId="5" borderId="0" xfId="0" applyFont="1" applyFill="1" applyAlignment="1">
      <alignment horizontal="center" vertical="center" wrapText="1"/>
    </xf>
    <xf numFmtId="0" fontId="90" fillId="5" borderId="7" xfId="0" applyFont="1" applyFill="1" applyBorder="1" applyAlignment="1">
      <alignment horizontal="center" vertical="center" wrapText="1"/>
    </xf>
    <xf numFmtId="49" fontId="102" fillId="6" borderId="8" xfId="0" applyNumberFormat="1" applyFont="1" applyFill="1" applyBorder="1" applyAlignment="1">
      <alignment horizontal="left" vertical="center" wrapText="1" indent="2"/>
    </xf>
    <xf numFmtId="49" fontId="102" fillId="6" borderId="0" xfId="0" applyNumberFormat="1" applyFont="1" applyFill="1" applyAlignment="1">
      <alignment horizontal="left" vertical="center" wrapText="1" indent="2"/>
    </xf>
    <xf numFmtId="49" fontId="102" fillId="6" borderId="7" xfId="0" applyNumberFormat="1" applyFont="1" applyFill="1" applyBorder="1" applyAlignment="1">
      <alignment horizontal="left" vertical="center" wrapText="1" indent="2"/>
    </xf>
    <xf numFmtId="0" fontId="98" fillId="0" borderId="5" xfId="0" applyFont="1" applyBorder="1" applyAlignment="1">
      <alignment horizontal="center" vertical="center"/>
    </xf>
    <xf numFmtId="0" fontId="98" fillId="0" borderId="6" xfId="0" applyFont="1" applyBorder="1" applyAlignment="1">
      <alignment horizontal="center" vertical="center"/>
    </xf>
    <xf numFmtId="0" fontId="98" fillId="0" borderId="15" xfId="0" applyFont="1" applyBorder="1" applyAlignment="1">
      <alignment horizontal="center" vertical="center"/>
    </xf>
    <xf numFmtId="0" fontId="99" fillId="0" borderId="2" xfId="0" applyFont="1" applyBorder="1" applyAlignment="1" applyProtection="1">
      <alignment vertical="center" wrapText="1"/>
      <protection locked="0"/>
    </xf>
    <xf numFmtId="0" fontId="99" fillId="0" borderId="3" xfId="0" applyFont="1" applyBorder="1" applyAlignment="1" applyProtection="1">
      <alignment vertical="center" wrapText="1"/>
      <protection locked="0"/>
    </xf>
    <xf numFmtId="0" fontId="99" fillId="0" borderId="4" xfId="0" applyFont="1" applyBorder="1" applyAlignment="1" applyProtection="1">
      <alignment vertical="center" wrapText="1"/>
      <protection locked="0"/>
    </xf>
    <xf numFmtId="0" fontId="81" fillId="24" borderId="8" xfId="0" applyFont="1" applyFill="1" applyBorder="1" applyAlignment="1">
      <alignment horizontal="center"/>
    </xf>
    <xf numFmtId="0" fontId="81" fillId="24" borderId="0" xfId="0" applyFont="1" applyFill="1" applyAlignment="1">
      <alignment horizontal="center"/>
    </xf>
    <xf numFmtId="0" fontId="64" fillId="22" borderId="14" xfId="0" applyFont="1" applyFill="1" applyBorder="1" applyAlignment="1">
      <alignment horizontal="left" vertical="center" wrapText="1" indent="1"/>
    </xf>
    <xf numFmtId="0" fontId="64" fillId="22" borderId="12" xfId="0" applyFont="1" applyFill="1" applyBorder="1" applyAlignment="1">
      <alignment horizontal="left" vertical="center" indent="1"/>
    </xf>
    <xf numFmtId="0" fontId="64" fillId="22" borderId="16" xfId="0" applyFont="1" applyFill="1" applyBorder="1" applyAlignment="1">
      <alignment horizontal="left" vertical="center" indent="1"/>
    </xf>
    <xf numFmtId="0" fontId="66" fillId="22" borderId="5" xfId="0" applyFont="1" applyFill="1" applyBorder="1" applyAlignment="1">
      <alignment horizontal="left" vertical="center" wrapText="1" indent="1"/>
    </xf>
    <xf numFmtId="0" fontId="66" fillId="22" borderId="6" xfId="0" applyFont="1" applyFill="1" applyBorder="1" applyAlignment="1">
      <alignment horizontal="left" vertical="center" indent="1"/>
    </xf>
    <xf numFmtId="0" fontId="66" fillId="22" borderId="15" xfId="0" applyFont="1" applyFill="1" applyBorder="1" applyAlignment="1">
      <alignment horizontal="left" vertical="center" indent="1"/>
    </xf>
    <xf numFmtId="0" fontId="0" fillId="0" borderId="8" xfId="0" applyBorder="1" applyAlignment="1" applyProtection="1">
      <alignment horizontal="center" vertical="center"/>
      <protection locked="0"/>
    </xf>
    <xf numFmtId="0" fontId="0" fillId="0" borderId="0" xfId="0" applyAlignment="1" applyProtection="1">
      <alignment horizontal="center" vertical="center"/>
      <protection locked="0"/>
    </xf>
    <xf numFmtId="0" fontId="118" fillId="0" borderId="3" xfId="0" applyFont="1" applyBorder="1" applyAlignment="1" applyProtection="1">
      <alignment horizontal="left" vertical="center" wrapText="1"/>
      <protection locked="0"/>
    </xf>
    <xf numFmtId="0" fontId="80" fillId="24" borderId="0" xfId="0" applyFont="1" applyFill="1" applyAlignment="1">
      <alignment horizontal="center" vertical="center"/>
    </xf>
    <xf numFmtId="0" fontId="80" fillId="24" borderId="7" xfId="0" applyFont="1" applyFill="1" applyBorder="1" applyAlignment="1">
      <alignment horizontal="center" vertical="center"/>
    </xf>
    <xf numFmtId="0" fontId="64" fillId="22" borderId="2" xfId="0" applyFont="1" applyFill="1" applyBorder="1" applyAlignment="1">
      <alignment vertical="center" wrapText="1"/>
    </xf>
    <xf numFmtId="0" fontId="64" fillId="22" borderId="3" xfId="0" applyFont="1" applyFill="1" applyBorder="1" applyAlignment="1">
      <alignment vertical="center"/>
    </xf>
    <xf numFmtId="0" fontId="64" fillId="22" borderId="4" xfId="0" applyFont="1" applyFill="1" applyBorder="1" applyAlignment="1">
      <alignment vertical="center"/>
    </xf>
    <xf numFmtId="0" fontId="90" fillId="5" borderId="2" xfId="0" applyFont="1" applyFill="1" applyBorder="1" applyAlignment="1">
      <alignment horizontal="center" vertical="center" wrapText="1"/>
    </xf>
    <xf numFmtId="0" fontId="90" fillId="5" borderId="3" xfId="0" applyFont="1" applyFill="1" applyBorder="1" applyAlignment="1">
      <alignment horizontal="center" vertical="center"/>
    </xf>
    <xf numFmtId="0" fontId="90" fillId="5" borderId="4" xfId="0" applyFont="1" applyFill="1" applyBorder="1" applyAlignment="1">
      <alignment horizontal="center" vertical="center"/>
    </xf>
    <xf numFmtId="0" fontId="0" fillId="0" borderId="8" xfId="0" applyBorder="1" applyProtection="1">
      <protection locked="0"/>
    </xf>
    <xf numFmtId="0" fontId="0" fillId="0" borderId="0" xfId="0" applyProtection="1">
      <protection locked="0"/>
    </xf>
    <xf numFmtId="0" fontId="26" fillId="0" borderId="0" xfId="0" applyFont="1" applyAlignment="1">
      <alignment horizontal="center" vertical="center"/>
    </xf>
    <xf numFmtId="0" fontId="105" fillId="24" borderId="0" xfId="0" applyFont="1" applyFill="1" applyAlignment="1">
      <alignment horizontal="left" vertical="center" wrapText="1" indent="1"/>
    </xf>
    <xf numFmtId="0" fontId="64" fillId="24" borderId="0" xfId="0" applyFont="1" applyFill="1" applyAlignment="1">
      <alignment horizontal="left" vertical="center" indent="1"/>
    </xf>
    <xf numFmtId="0" fontId="5" fillId="3" borderId="0" xfId="1" applyFill="1" applyAlignment="1" applyProtection="1">
      <alignment horizontal="center" vertical="center" wrapText="1"/>
      <protection locked="0"/>
    </xf>
    <xf numFmtId="0" fontId="94" fillId="3" borderId="2" xfId="1" applyFont="1" applyFill="1" applyBorder="1" applyAlignment="1" applyProtection="1">
      <alignment horizontal="left" vertical="center"/>
      <protection locked="0"/>
    </xf>
    <xf numFmtId="0" fontId="94" fillId="3" borderId="4" xfId="1" applyFont="1" applyFill="1" applyBorder="1" applyAlignment="1" applyProtection="1">
      <alignment horizontal="left" vertical="center"/>
      <protection locked="0"/>
    </xf>
    <xf numFmtId="0" fontId="73" fillId="0" borderId="0" xfId="0" applyFont="1" applyAlignment="1" applyProtection="1">
      <alignment vertical="top" wrapText="1"/>
      <protection locked="0"/>
    </xf>
    <xf numFmtId="0" fontId="72" fillId="0" borderId="0" xfId="0" applyFont="1" applyAlignment="1" applyProtection="1">
      <alignment horizontal="center" vertical="center"/>
      <protection locked="0"/>
    </xf>
    <xf numFmtId="0" fontId="73" fillId="0" borderId="0" xfId="0" applyFont="1" applyAlignment="1" applyProtection="1">
      <alignment horizontal="left" vertical="top" wrapText="1"/>
      <protection locked="0"/>
    </xf>
    <xf numFmtId="0" fontId="66" fillId="0" borderId="0" xfId="0" applyFont="1" applyAlignment="1">
      <alignment horizontal="right" vertical="center" wrapText="1"/>
    </xf>
    <xf numFmtId="0" fontId="39" fillId="27" borderId="1" xfId="0" applyFont="1" applyFill="1" applyBorder="1" applyAlignment="1">
      <alignment horizontal="center" vertical="center"/>
    </xf>
    <xf numFmtId="0" fontId="68" fillId="28" borderId="1" xfId="0" applyFont="1" applyFill="1" applyBorder="1" applyAlignment="1">
      <alignment horizontal="left" vertical="center" wrapText="1"/>
    </xf>
    <xf numFmtId="0" fontId="66" fillId="0" borderId="0" xfId="0" applyFont="1" applyAlignment="1">
      <alignment horizontal="center" vertical="center" wrapText="1"/>
    </xf>
    <xf numFmtId="0" fontId="64" fillId="0" borderId="0" xfId="0" applyFont="1" applyAlignment="1">
      <alignment horizontal="center" vertical="center"/>
    </xf>
    <xf numFmtId="0" fontId="63" fillId="0" borderId="0" xfId="0" applyFont="1" applyAlignment="1">
      <alignment horizontal="center" vertical="center" wrapText="1"/>
    </xf>
    <xf numFmtId="1" fontId="72" fillId="0" borderId="0" xfId="0" applyNumberFormat="1" applyFont="1" applyAlignment="1" applyProtection="1">
      <alignment horizontal="center" vertical="center" wrapText="1"/>
      <protection locked="0"/>
    </xf>
    <xf numFmtId="0" fontId="72" fillId="0" borderId="0" xfId="0" applyFont="1" applyAlignment="1" applyProtection="1">
      <alignment horizontal="center" vertical="center" wrapText="1"/>
      <protection locked="0"/>
    </xf>
    <xf numFmtId="0" fontId="61" fillId="0" borderId="0" xfId="0" applyFont="1" applyAlignment="1">
      <alignment horizontal="center" vertical="center" wrapText="1"/>
    </xf>
    <xf numFmtId="0" fontId="63" fillId="0" borderId="1" xfId="0" applyFont="1" applyBorder="1" applyAlignment="1">
      <alignment horizontal="center" vertical="center" wrapText="1"/>
    </xf>
    <xf numFmtId="0" fontId="70" fillId="0" borderId="0" xfId="0" applyFont="1"/>
    <xf numFmtId="0" fontId="3" fillId="0" borderId="0" xfId="0" applyFont="1" applyAlignment="1">
      <alignment horizontal="center" vertical="center"/>
    </xf>
    <xf numFmtId="1" fontId="72" fillId="0" borderId="0" xfId="0" applyNumberFormat="1" applyFont="1" applyAlignment="1" applyProtection="1">
      <alignment horizontal="center" vertical="center"/>
      <protection locked="0"/>
    </xf>
    <xf numFmtId="0" fontId="0" fillId="0" borderId="0" xfId="0" applyAlignment="1">
      <alignment horizontal="center"/>
    </xf>
    <xf numFmtId="0" fontId="38" fillId="0" borderId="0" xfId="0" applyFont="1" applyAlignment="1">
      <alignment horizontal="center"/>
    </xf>
    <xf numFmtId="0" fontId="25" fillId="0" borderId="0" xfId="0" applyFont="1" applyAlignment="1">
      <alignment horizontal="center"/>
    </xf>
    <xf numFmtId="0" fontId="55" fillId="21" borderId="2" xfId="0" applyFont="1" applyFill="1" applyBorder="1" applyAlignment="1">
      <alignment horizontal="left" vertical="center" wrapText="1"/>
    </xf>
    <xf numFmtId="0" fontId="55" fillId="21" borderId="3" xfId="0" applyFont="1" applyFill="1" applyBorder="1" applyAlignment="1">
      <alignment horizontal="left" vertical="center"/>
    </xf>
    <xf numFmtId="0" fontId="55" fillId="21" borderId="4" xfId="0" applyFont="1" applyFill="1" applyBorder="1" applyAlignment="1">
      <alignment horizontal="left" vertical="center"/>
    </xf>
    <xf numFmtId="0" fontId="13" fillId="3" borderId="0" xfId="0" applyFont="1" applyFill="1" applyAlignment="1">
      <alignment horizontal="left"/>
    </xf>
    <xf numFmtId="0" fontId="13" fillId="3" borderId="7" xfId="0" applyFont="1" applyFill="1" applyBorder="1" applyAlignment="1">
      <alignment horizontal="left"/>
    </xf>
    <xf numFmtId="0" fontId="11" fillId="4" borderId="8" xfId="0" applyFont="1" applyFill="1" applyBorder="1" applyAlignment="1">
      <alignment horizontal="center" vertical="center"/>
    </xf>
    <xf numFmtId="0" fontId="11" fillId="4" borderId="0" xfId="0" applyFont="1" applyFill="1" applyAlignment="1">
      <alignment horizontal="center" vertical="center"/>
    </xf>
    <xf numFmtId="0" fontId="11" fillId="4" borderId="7" xfId="0" applyFont="1" applyFill="1" applyBorder="1" applyAlignment="1">
      <alignment horizontal="center" vertical="center"/>
    </xf>
    <xf numFmtId="0" fontId="57" fillId="9" borderId="8" xfId="0" applyFont="1" applyFill="1" applyBorder="1" applyAlignment="1">
      <alignment horizontal="justify" vertical="center" wrapText="1"/>
    </xf>
    <xf numFmtId="0" fontId="24" fillId="9" borderId="0" xfId="0" applyFont="1" applyFill="1" applyAlignment="1">
      <alignment horizontal="justify" vertical="center" wrapText="1"/>
    </xf>
    <xf numFmtId="0" fontId="24" fillId="9" borderId="7" xfId="0" applyFont="1" applyFill="1" applyBorder="1" applyAlignment="1">
      <alignment horizontal="justify" vertical="center" wrapText="1"/>
    </xf>
    <xf numFmtId="0" fontId="58" fillId="9" borderId="8" xfId="0" applyFont="1" applyFill="1" applyBorder="1" applyAlignment="1">
      <alignment horizontal="left" vertical="center" wrapText="1"/>
    </xf>
    <xf numFmtId="0" fontId="58" fillId="9" borderId="0" xfId="0" applyFont="1" applyFill="1" applyAlignment="1">
      <alignment horizontal="left" vertical="center" wrapText="1"/>
    </xf>
    <xf numFmtId="0" fontId="58" fillId="9" borderId="7" xfId="0" applyFont="1" applyFill="1" applyBorder="1" applyAlignment="1">
      <alignment horizontal="left" vertical="center" wrapText="1"/>
    </xf>
    <xf numFmtId="0" fontId="57" fillId="9" borderId="0" xfId="0" applyFont="1" applyFill="1" applyAlignment="1">
      <alignment horizontal="justify" vertical="center" wrapText="1"/>
    </xf>
    <xf numFmtId="0" fontId="57" fillId="9" borderId="7" xfId="0" applyFont="1" applyFill="1" applyBorder="1" applyAlignment="1">
      <alignment horizontal="justify" vertical="center" wrapText="1"/>
    </xf>
    <xf numFmtId="0" fontId="50" fillId="20" borderId="8" xfId="0" applyFont="1" applyFill="1" applyBorder="1" applyAlignment="1">
      <alignment wrapText="1"/>
    </xf>
    <xf numFmtId="0" fontId="50" fillId="20" borderId="0" xfId="0" applyFont="1" applyFill="1" applyAlignment="1">
      <alignment wrapText="1"/>
    </xf>
    <xf numFmtId="0" fontId="50" fillId="20" borderId="7" xfId="0" applyFont="1" applyFill="1" applyBorder="1" applyAlignment="1">
      <alignment wrapText="1"/>
    </xf>
    <xf numFmtId="0" fontId="57" fillId="9" borderId="8" xfId="0" applyFont="1" applyFill="1" applyBorder="1" applyAlignment="1">
      <alignment horizontal="justify" wrapText="1"/>
    </xf>
    <xf numFmtId="0" fontId="57" fillId="9" borderId="0" xfId="0" applyFont="1" applyFill="1" applyAlignment="1">
      <alignment horizontal="justify" wrapText="1"/>
    </xf>
    <xf numFmtId="0" fontId="57" fillId="9" borderId="7" xfId="0" applyFont="1" applyFill="1" applyBorder="1" applyAlignment="1">
      <alignment horizontal="justify" wrapText="1"/>
    </xf>
    <xf numFmtId="0" fontId="57" fillId="9" borderId="5" xfId="0" applyFont="1" applyFill="1" applyBorder="1" applyAlignment="1">
      <alignment horizontal="justify" vertical="center" wrapText="1"/>
    </xf>
    <xf numFmtId="0" fontId="57" fillId="9" borderId="6" xfId="0" applyFont="1" applyFill="1" applyBorder="1" applyAlignment="1">
      <alignment horizontal="justify" vertical="center" wrapText="1"/>
    </xf>
    <xf numFmtId="0" fontId="57" fillId="9" borderId="15" xfId="0" applyFont="1" applyFill="1" applyBorder="1" applyAlignment="1">
      <alignment horizontal="justify" vertical="center" wrapText="1"/>
    </xf>
    <xf numFmtId="0" fontId="59" fillId="20" borderId="8" xfId="0" applyFont="1" applyFill="1" applyBorder="1" applyAlignment="1">
      <alignment wrapText="1"/>
    </xf>
  </cellXfs>
  <cellStyles count="2">
    <cellStyle name="Hyperlink" xfId="1" builtinId="8"/>
    <cellStyle name="Normal" xfId="0" builtinId="0"/>
  </cellStyles>
  <dxfs count="1479">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theme="2" tint="0.79998168889431442"/>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rgb="FF92D050"/>
        </patternFill>
      </fill>
    </dxf>
    <dxf>
      <fill>
        <patternFill>
          <bgColor theme="2" tint="0.79998168889431442"/>
        </patternFill>
      </fill>
      <border>
        <left style="thin">
          <color auto="1"/>
        </left>
        <right style="thin">
          <color auto="1"/>
        </right>
        <top style="thin">
          <color auto="1"/>
        </top>
        <bottom style="thin">
          <color auto="1"/>
        </bottom>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theme="2" tint="0.79998168889431442"/>
        </patternFill>
      </fill>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theme="4" tint="0.79998168889431442"/>
        </patternFill>
      </fill>
      <border>
        <left/>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theme="4" tint="0.79998168889431442"/>
        </patternFill>
      </fill>
      <border>
        <left/>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theme="4" tint="0.79998168889431442"/>
        </patternFill>
      </fill>
      <border>
        <left/>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border>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rgb="FFFFC7C7"/>
        </patternFill>
      </fill>
    </dxf>
    <dxf>
      <fill>
        <patternFill>
          <bgColor rgb="FF92D050"/>
        </patternFill>
      </fill>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9" tint="0.3999450666829432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7" tint="0.7999816888943144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fill>
        <patternFill>
          <bgColor theme="2" tint="0.79998168889431442"/>
        </patternFill>
      </fill>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C198E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ont>
        <strike val="0"/>
      </font>
      <fill>
        <patternFill>
          <bgColor rgb="FFE1CCF0"/>
        </patternFill>
      </fill>
      <border>
        <left/>
        <right/>
        <top/>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D2C3F3"/>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strike val="0"/>
        <color auto="1"/>
      </font>
    </dxf>
    <dxf>
      <font>
        <color auto="1"/>
      </font>
    </dxf>
    <dxf>
      <font>
        <color auto="1"/>
      </font>
    </dxf>
    <dxf>
      <font>
        <color auto="1"/>
      </font>
    </dxf>
    <dxf>
      <font>
        <color auto="1"/>
      </font>
    </dxf>
    <dxf>
      <font>
        <strike val="0"/>
        <color auto="1"/>
      </font>
    </dxf>
    <dxf>
      <font>
        <color auto="1"/>
      </font>
    </dxf>
    <dxf>
      <font>
        <color auto="1"/>
      </font>
    </dxf>
    <dxf>
      <font>
        <strike val="0"/>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strike val="0"/>
        <color auto="1"/>
      </font>
    </dxf>
    <dxf>
      <font>
        <b/>
        <i val="0"/>
        <strike val="0"/>
        <color rgb="FF009242"/>
      </font>
      <fill>
        <patternFill>
          <bgColor theme="2" tint="0.79998168889431442"/>
        </patternFill>
      </fill>
    </dxf>
    <dxf>
      <font>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strike val="0"/>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strike val="0"/>
        <color auto="1"/>
      </font>
    </dxf>
    <dxf>
      <font>
        <color auto="1"/>
      </font>
    </dxf>
    <dxf>
      <fill>
        <patternFill>
          <bgColor theme="0"/>
        </patternFill>
      </fill>
      <border>
        <right style="thin">
          <color auto="1"/>
        </right>
        <top style="thin">
          <color auto="1"/>
        </top>
        <vertical/>
        <horizontal/>
      </border>
    </dxf>
    <dxf>
      <border>
        <left style="thin">
          <color auto="1"/>
        </left>
        <right style="thin">
          <color auto="1"/>
        </right>
        <top style="thin">
          <color auto="1"/>
        </top>
        <bottom style="thin">
          <color auto="1"/>
        </bottom>
        <vertical/>
        <horizontal/>
      </border>
    </dxf>
    <dxf>
      <fill>
        <patternFill>
          <bgColor theme="0"/>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ont>
        <color auto="1"/>
      </font>
      <fill>
        <patternFill>
          <bgColor theme="4" tint="0.79998168889431442"/>
        </patternFill>
      </fill>
    </dxf>
    <dxf>
      <font>
        <color auto="1"/>
      </font>
      <fill>
        <patternFill>
          <bgColor rgb="FFFFC7CE"/>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border>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rgb="FFFFC7C7"/>
        </patternFill>
      </fill>
    </dxf>
    <dxf>
      <fill>
        <patternFill>
          <bgColor theme="4" tint="0.79998168889431442"/>
        </patternFill>
      </fill>
      <border>
        <left style="thin">
          <color auto="1"/>
        </left>
        <right style="thin">
          <color auto="1"/>
        </right>
        <top style="thin">
          <color auto="1"/>
        </top>
        <bottom style="thin">
          <color auto="1"/>
        </bottom>
      </border>
    </dxf>
    <dxf>
      <fill>
        <patternFill>
          <bgColor rgb="FFFFC7CE"/>
        </patternFill>
      </fill>
    </dxf>
    <dxf>
      <fill>
        <patternFill>
          <bgColor theme="0" tint="-0.24994659260841701"/>
        </patternFill>
      </fill>
    </dxf>
    <dxf>
      <border>
        <left style="thin">
          <color auto="1"/>
        </left>
        <right style="thin">
          <color auto="1"/>
        </right>
        <top style="thin">
          <color auto="1"/>
        </top>
        <bottom style="thin">
          <color auto="1"/>
        </bottom>
        <vertical/>
        <horizontal/>
      </border>
    </dxf>
    <dxf>
      <border>
        <right style="thin">
          <color auto="1"/>
        </right>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theme="4"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border>
    </dxf>
    <dxf>
      <fill>
        <patternFill>
          <bgColor theme="4" tint="0.79998168889431442"/>
        </patternFill>
      </fill>
    </dxf>
    <dxf>
      <fill>
        <patternFill>
          <bgColor rgb="FFFFC7CE"/>
        </patternFill>
      </fill>
    </dxf>
    <dxf>
      <fill>
        <patternFill>
          <bgColor theme="0" tint="-0.34998626667073579"/>
        </patternFill>
      </fill>
      <border>
        <left/>
        <right/>
        <top/>
        <bottom/>
        <vertical/>
        <horizontal/>
      </border>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border>
    </dxf>
    <dxf>
      <fill>
        <patternFill>
          <bgColor rgb="FFFFC7CE"/>
        </patternFill>
      </fill>
      <border>
        <left style="thin">
          <color auto="1"/>
        </left>
        <right style="thin">
          <color auto="1"/>
        </right>
        <top style="thin">
          <color auto="1"/>
        </top>
        <bottom style="thin">
          <color auto="1"/>
        </bottom>
      </border>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rgb="FFFFC7CE"/>
        </patternFill>
      </fill>
    </dxf>
    <dxf>
      <fill>
        <patternFill>
          <bgColor theme="0" tint="-0.34998626667073579"/>
        </patternFill>
      </fill>
      <border>
        <left/>
        <right/>
        <top/>
        <bottom/>
      </border>
    </dxf>
    <dxf>
      <fill>
        <patternFill>
          <bgColor theme="0"/>
        </patternFill>
      </fill>
    </dxf>
    <dxf>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0" tint="-0.34998626667073579"/>
        </patternFill>
      </fill>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ont>
        <strike val="0"/>
        <color auto="1"/>
      </font>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border>
        <left style="thin">
          <color auto="1"/>
        </left>
        <right style="thin">
          <color auto="1"/>
        </right>
        <top style="thin">
          <color auto="1"/>
        </top>
        <bottom style="thin">
          <color auto="1"/>
        </bottom>
        <vertical/>
        <horizontal/>
      </border>
    </dxf>
    <dxf>
      <fill>
        <patternFill>
          <bgColor rgb="FFA9D08E"/>
        </patternFill>
      </fill>
      <border>
        <left/>
        <right style="thin">
          <color auto="1"/>
        </right>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border>
    </dxf>
    <dxf>
      <fill>
        <patternFill>
          <bgColor theme="0" tint="-0.24994659260841701"/>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top style="thin">
          <color auto="1"/>
        </top>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border>
    </dxf>
    <dxf>
      <fill>
        <patternFill>
          <bgColor theme="0" tint="-0.34998626667073579"/>
        </patternFill>
      </fill>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F1E8F8"/>
        </patternFill>
      </fill>
    </dxf>
    <dxf>
      <fill>
        <patternFill>
          <bgColor theme="0"/>
        </patternFill>
      </fill>
      <border>
        <left style="thin">
          <color auto="1"/>
        </left>
        <right/>
        <top/>
        <bottom style="thin">
          <color auto="1"/>
        </bottom>
      </border>
    </dxf>
    <dxf>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ill>
        <patternFill>
          <bgColor rgb="FFF1E8F8"/>
        </patternFill>
      </fill>
    </dxf>
    <dxf>
      <fill>
        <patternFill>
          <bgColor rgb="FFF1E8F8"/>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rgb="FFFFC7CE"/>
        </patternFill>
      </fill>
    </dxf>
    <dxf>
      <fill>
        <patternFill>
          <bgColor theme="0" tint="-0.34998626667073579"/>
        </patternFill>
      </fill>
    </dxf>
    <dxf>
      <fill>
        <patternFill>
          <bgColor theme="9" tint="0.39994506668294322"/>
        </patternFill>
      </fill>
    </dxf>
    <dxf>
      <fill>
        <patternFill>
          <bgColor rgb="FFFFC7CE"/>
        </patternFill>
      </fill>
    </dxf>
    <dxf>
      <fill>
        <patternFill>
          <bgColor theme="0" tint="-0.34998626667073579"/>
        </patternFill>
      </fill>
      <border>
        <left/>
        <right/>
        <top/>
        <bottom/>
      </border>
    </dxf>
    <dxf>
      <fill>
        <patternFill>
          <bgColor theme="9" tint="0.39994506668294322"/>
        </patternFill>
      </fill>
    </dxf>
    <dxf>
      <fill>
        <patternFill>
          <bgColor theme="0" tint="-0.34998626667073579"/>
        </patternFill>
      </fill>
    </dxf>
    <dxf>
      <border>
        <bottom style="thin">
          <color auto="1"/>
        </bottom>
        <vertical/>
        <horizontal/>
      </border>
    </dxf>
    <dxf>
      <fill>
        <patternFill>
          <bgColor theme="0" tint="-0.34998626667073579"/>
        </patternFill>
      </fill>
      <border>
        <left/>
        <right/>
        <top/>
        <bottom/>
      </border>
    </dxf>
    <dxf>
      <fill>
        <patternFill>
          <bgColor theme="0" tint="-0.24994659260841701"/>
        </patternFill>
      </fill>
      <border>
        <left/>
        <right/>
        <top/>
        <bottom/>
        <vertical/>
        <horizontal/>
      </border>
    </dxf>
    <dxf>
      <fill>
        <patternFill>
          <bgColor rgb="FFFFC7CE"/>
        </patternFill>
      </fill>
    </dxf>
    <dxf>
      <fill>
        <patternFill>
          <bgColor theme="0" tint="-0.34998626667073579"/>
        </patternFill>
      </fill>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0" tint="-0.34998626667073579"/>
        </patternFill>
      </fill>
    </dxf>
    <dxf>
      <fill>
        <patternFill>
          <bgColor rgb="FFFFC7CE"/>
        </patternFill>
      </fill>
    </dxf>
    <dxf>
      <fill>
        <patternFill>
          <bgColor theme="9" tint="0.3999450666829432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9" tint="0.39994506668294322"/>
        </patternFill>
      </fill>
    </dxf>
    <dxf>
      <fill>
        <patternFill>
          <bgColor rgb="FFFFC7CE"/>
        </patternFill>
      </fill>
    </dxf>
    <dxf>
      <fill>
        <patternFill>
          <bgColor theme="0" tint="-0.34998626667073579"/>
        </patternFill>
      </fill>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border>
        <left/>
        <right/>
        <top/>
        <bottom/>
      </border>
    </dxf>
    <dxf>
      <fill>
        <patternFill>
          <bgColor theme="0" tint="-0.34998626667073579"/>
        </patternFill>
      </fill>
    </dxf>
    <dxf>
      <fill>
        <patternFill>
          <bgColor theme="0" tint="-0.34998626667073579"/>
        </patternFill>
      </fill>
      <border>
        <left/>
        <right/>
        <top/>
        <bottom/>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theme="0" tint="-0.34998626667073579"/>
        </patternFill>
      </fill>
    </dxf>
    <dxf>
      <fill>
        <patternFill>
          <bgColor rgb="FFFFC7CE"/>
        </patternFill>
      </fill>
    </dxf>
    <dxf>
      <fill>
        <patternFill>
          <bgColor theme="0" tint="-0.34998626667073579"/>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E2EFDA"/>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theme="0" tint="-0.34998626667073579"/>
        </patternFill>
      </fill>
      <border>
        <left/>
        <right/>
        <top/>
        <bottom/>
        <vertical/>
        <horizontal/>
      </border>
    </dxf>
    <dxf>
      <fill>
        <patternFill>
          <bgColor rgb="FF92D050"/>
        </patternFill>
      </fill>
    </dxf>
    <dxf>
      <fill>
        <patternFill>
          <bgColor rgb="FFFFC7CE"/>
        </patternFill>
      </fill>
    </dxf>
    <dxf>
      <fill>
        <patternFill>
          <bgColor theme="0" tint="-0.34998626667073579"/>
        </patternFill>
      </fill>
      <border>
        <left/>
        <right/>
        <top/>
        <bottom/>
        <vertical/>
        <horizontal/>
      </border>
    </dxf>
    <dxf>
      <fill>
        <patternFill>
          <bgColor rgb="FF92D050"/>
        </patternFill>
      </fill>
    </dxf>
    <dxf>
      <fill>
        <patternFill>
          <bgColor rgb="FFFFC7CE"/>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92D050"/>
        </patternFill>
      </fill>
    </dxf>
    <dxf>
      <border>
        <bottom style="thin">
          <color auto="1"/>
        </bottom>
        <vertical/>
        <horizontal/>
      </border>
    </dxf>
    <dxf>
      <fill>
        <patternFill>
          <bgColor rgb="FFFFC7CE"/>
        </patternFill>
      </fill>
    </dxf>
    <dxf>
      <fill>
        <patternFill>
          <bgColor rgb="FF92D050"/>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rgb="FF92D050"/>
        </patternFill>
      </fill>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border>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ont>
        <strike val="0"/>
      </font>
      <fill>
        <patternFill>
          <bgColor theme="4" tint="0.79998168889431442"/>
        </patternFill>
      </fill>
      <border>
        <left style="thin">
          <color auto="1"/>
        </left>
        <right style="thin">
          <color auto="1"/>
        </right>
        <top style="thin">
          <color auto="1"/>
        </top>
        <bottom style="thin">
          <color auto="1"/>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0" tint="-0.34998626667073579"/>
        </patternFill>
      </fill>
    </dxf>
    <dxf>
      <fill>
        <patternFill>
          <bgColor rgb="FF92D050"/>
        </patternFill>
      </fill>
    </dxf>
    <dxf>
      <fill>
        <patternFill>
          <bgColor rgb="FFE2EFDA"/>
        </patternFill>
      </fill>
      <border>
        <left style="thin">
          <color auto="1"/>
        </left>
        <right style="thin">
          <color auto="1"/>
        </right>
        <top style="thin">
          <color auto="1"/>
        </top>
        <bottom style="thin">
          <color auto="1"/>
        </bottom>
        <vertical/>
        <horizontal/>
      </border>
    </dxf>
    <dxf>
      <font>
        <color auto="1"/>
      </font>
      <fill>
        <patternFill>
          <bgColor theme="6"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patternFill>
      </fill>
      <border>
        <left style="thin">
          <color auto="1"/>
        </left>
        <right style="thin">
          <color auto="1"/>
        </right>
        <top style="thin">
          <color auto="1"/>
        </top>
        <bottom style="thin">
          <color auto="1"/>
        </bottom>
        <vertical/>
        <horizontal/>
      </border>
    </dxf>
    <dxf>
      <fill>
        <patternFill>
          <bgColor rgb="FFA9D08E"/>
        </patternFill>
      </fill>
      <border>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border>
        <bottom style="thin">
          <color auto="1"/>
        </bottom>
        <vertical/>
        <horizontal/>
      </border>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CCFF99"/>
        </patternFill>
      </fill>
    </dxf>
    <dxf>
      <fill>
        <patternFill>
          <bgColor theme="0" tint="-0.34998626667073579"/>
        </patternFill>
      </fill>
    </dxf>
    <dxf>
      <fill>
        <patternFill>
          <bgColor theme="0" tint="-0.34998626667073579"/>
        </patternFill>
      </fill>
    </dxf>
    <dxf>
      <fill>
        <patternFill>
          <bgColor theme="5"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A9D08E"/>
        </patternFill>
      </fill>
      <border>
        <left style="thin">
          <color auto="1"/>
        </left>
        <right style="thin">
          <color auto="1"/>
        </right>
        <top style="thin">
          <color auto="1"/>
        </top>
        <bottom/>
        <vertical/>
        <horizontal/>
      </border>
    </dxf>
    <dxf>
      <fill>
        <patternFill>
          <bgColor rgb="FFA9D08E"/>
        </patternFill>
      </fill>
      <border>
        <left style="thin">
          <color auto="1"/>
        </left>
        <right style="thin">
          <color auto="1"/>
        </right>
        <top style="thin">
          <color auto="1"/>
        </top>
        <bottom style="thin">
          <color auto="1"/>
        </bottom>
      </border>
    </dxf>
    <dxf>
      <fill>
        <patternFill>
          <bgColor rgb="FFA9D08E"/>
        </patternFill>
      </fill>
      <border>
        <left style="thin">
          <color auto="1"/>
        </left>
        <right style="thin">
          <color auto="1"/>
        </right>
        <top style="thin">
          <color auto="1"/>
        </top>
        <bottom style="thin">
          <color auto="1"/>
        </bottom>
        <vertical/>
        <horizontal/>
      </border>
    </dxf>
    <dxf>
      <font>
        <b/>
        <i val="0"/>
        <color rgb="FFC00000"/>
      </font>
      <fill>
        <patternFill>
          <bgColor rgb="FFFFFF00"/>
        </patternFill>
      </fill>
    </dxf>
    <dxf>
      <font>
        <b/>
        <i val="0"/>
        <color rgb="FFC00000"/>
      </font>
      <fill>
        <patternFill>
          <bgColor rgb="FFFFFF00"/>
        </patternFill>
      </fill>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8" tint="0.79998168889431442"/>
        </patternFill>
      </fill>
    </dxf>
    <dxf>
      <border>
        <left style="thin">
          <color auto="1"/>
        </left>
        <right style="thin">
          <color auto="1"/>
        </right>
        <top style="thin">
          <color auto="1"/>
        </top>
        <bottom style="thin">
          <color auto="1"/>
        </bottom>
        <vertical/>
        <horizontal/>
      </border>
    </dxf>
    <dxf>
      <border>
        <top style="thin">
          <color auto="1"/>
        </top>
        <vertical/>
        <horizontal/>
      </border>
    </dxf>
    <dxf>
      <fill>
        <patternFill>
          <bgColor theme="0" tint="-0.24994659260841701"/>
        </patternFill>
      </fill>
      <border>
        <left/>
        <right/>
        <top/>
        <bottom/>
        <vertical/>
        <horizontal/>
      </border>
    </dxf>
    <dxf>
      <border>
        <left style="thin">
          <color auto="1"/>
        </left>
        <right style="thin">
          <color auto="1"/>
        </right>
        <top style="thin">
          <color auto="1"/>
        </top>
        <bottom style="thin">
          <color auto="1"/>
        </bottom>
        <vertical/>
        <horizontal/>
      </border>
    </dxf>
    <dxf>
      <border>
        <top style="thin">
          <color auto="1"/>
        </top>
        <vertical/>
        <horizontal/>
      </border>
    </dxf>
    <dxf>
      <border>
        <left style="thin">
          <color auto="1"/>
        </left>
        <right style="thin">
          <color auto="1"/>
        </right>
        <top style="thin">
          <color auto="1"/>
        </top>
        <bottom style="thin">
          <color auto="1"/>
        </bottom>
        <vertical/>
        <horizontal/>
      </border>
    </dxf>
    <dxf>
      <border>
        <top style="thin">
          <color auto="1"/>
        </top>
        <vertical/>
        <horizontal/>
      </border>
    </dxf>
    <dxf>
      <fill>
        <patternFill>
          <bgColor theme="0" tint="-0.24994659260841701"/>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0" tint="-0.24994659260841701"/>
        </patternFill>
      </fill>
    </dxf>
    <dxf>
      <fill>
        <patternFill>
          <bgColor theme="0" tint="-0.24994659260841701"/>
        </patternFill>
      </fill>
      <border>
        <left/>
        <right/>
        <top/>
        <bottom/>
        <vertical/>
        <horizontal/>
      </border>
    </dxf>
    <dxf>
      <border>
        <top style="thin">
          <color auto="1"/>
        </top>
        <vertical/>
        <horizontal/>
      </border>
    </dxf>
    <dxf>
      <fill>
        <patternFill>
          <bgColor theme="8" tint="0.79998168889431442"/>
        </patternFill>
      </fill>
    </dxf>
    <dxf>
      <fill>
        <patternFill>
          <bgColor theme="8" tint="0.59996337778862885"/>
        </patternFill>
      </fill>
    </dxf>
    <dxf>
      <font>
        <b/>
        <i val="0"/>
        <color rgb="FFC00000"/>
      </font>
      <fill>
        <patternFill>
          <bgColor rgb="FFFFFF00"/>
        </patternFill>
      </fill>
    </dxf>
    <dxf>
      <fill>
        <patternFill>
          <bgColor theme="9" tint="0.79998168889431442"/>
        </patternFill>
      </fill>
    </dxf>
    <dxf>
      <font>
        <color theme="0"/>
      </font>
      <fill>
        <patternFill>
          <bgColor rgb="FF00206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right/>
        <top/>
        <bottom/>
        <vertical/>
        <horizontal/>
      </border>
    </dxf>
    <dxf>
      <fill>
        <patternFill>
          <bgColor rgb="FFA9D08E"/>
        </patternFill>
      </fill>
      <border>
        <left style="thin">
          <color auto="1"/>
        </left>
        <right/>
        <top/>
        <bottom style="thin">
          <color auto="1"/>
        </bottom>
        <vertical/>
        <horizontal/>
      </border>
    </dxf>
    <dxf>
      <fill>
        <patternFill>
          <bgColor rgb="FFE2CFF1"/>
        </patternFill>
      </fill>
      <border>
        <left/>
        <right/>
        <top/>
        <bottom/>
        <vertical/>
        <horizontal/>
      </border>
    </dxf>
    <dxf>
      <fill>
        <patternFill>
          <bgColor rgb="FFC7A1E3"/>
        </patternFill>
      </fill>
      <border>
        <left/>
        <right/>
        <top/>
        <bottom/>
      </border>
    </dxf>
    <dxf>
      <fill>
        <patternFill>
          <bgColor rgb="FFFDCC2F"/>
        </patternFill>
      </fill>
    </dxf>
    <dxf>
      <fill>
        <patternFill>
          <bgColor rgb="FF76B7DF"/>
        </patternFill>
      </fill>
    </dxf>
    <dxf>
      <fill>
        <patternFill>
          <bgColor rgb="FFFDCC2F"/>
        </patternFill>
      </fill>
    </dxf>
    <dxf>
      <fill>
        <patternFill>
          <bgColor rgb="FF76B7DF"/>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border>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76B7DF"/>
        </patternFill>
      </fill>
      <border>
        <left style="thin">
          <color auto="1"/>
        </left>
        <right style="thin">
          <color auto="1"/>
        </right>
        <top style="thin">
          <color auto="1"/>
        </top>
        <bottom style="thin">
          <color auto="1"/>
        </bottom>
      </border>
    </dxf>
    <dxf>
      <fill>
        <patternFill>
          <bgColor rgb="FFFDCC2F"/>
        </patternFill>
      </fill>
      <border>
        <left style="thin">
          <color auto="1"/>
        </left>
        <right style="thin">
          <color auto="1"/>
        </right>
        <top style="thin">
          <color auto="1"/>
        </top>
        <bottom style="thin">
          <color auto="1"/>
        </bottom>
      </border>
    </dxf>
    <dxf>
      <fill>
        <patternFill>
          <bgColor theme="0" tint="-0.34998626667073579"/>
        </patternFill>
      </fill>
    </dxf>
    <dxf>
      <fill>
        <patternFill>
          <bgColor rgb="FFFDCC2F"/>
        </patternFill>
      </fill>
    </dxf>
    <dxf>
      <fill>
        <patternFill>
          <bgColor rgb="FF76B7DF"/>
        </patternFill>
      </fill>
    </dxf>
    <dxf>
      <font>
        <color rgb="FF002060"/>
      </font>
      <fill>
        <patternFill>
          <bgColor theme="8" tint="0.79998168889431442"/>
        </patternFill>
      </fill>
    </dxf>
    <dxf>
      <font>
        <b/>
        <i val="0"/>
        <color auto="1"/>
      </font>
      <fill>
        <patternFill>
          <bgColor theme="4" tint="0.79998168889431442"/>
        </patternFill>
      </fill>
      <border>
        <left style="thin">
          <color auto="1"/>
        </left>
        <right style="thin">
          <color auto="1"/>
        </right>
        <top style="thin">
          <color auto="1"/>
        </top>
        <bottom style="thin">
          <color auto="1"/>
        </bottom>
      </border>
    </dxf>
    <dxf>
      <fill>
        <patternFill>
          <bgColor rgb="FFFEDD79"/>
        </patternFill>
      </fill>
    </dxf>
    <dxf>
      <fill>
        <patternFill>
          <bgColor rgb="FF76B7DF"/>
        </patternFill>
      </fill>
    </dxf>
    <dxf>
      <font>
        <color rgb="FF002060"/>
      </font>
      <fill>
        <patternFill>
          <bgColor theme="8" tint="0.79998168889431442"/>
        </patternFill>
      </fill>
    </dxf>
    <dxf>
      <font>
        <color rgb="FF002060"/>
      </font>
      <fill>
        <patternFill>
          <bgColor theme="7" tint="0.79998168889431442"/>
        </patternFill>
      </fill>
    </dxf>
    <dxf>
      <fill>
        <patternFill>
          <bgColor rgb="FF002060"/>
        </patternFill>
      </fill>
    </dxf>
    <dxf>
      <fill>
        <patternFill>
          <bgColor theme="8" tint="-0.499984740745262"/>
        </patternFill>
      </fill>
    </dxf>
    <dxf>
      <font>
        <color rgb="FF002060"/>
      </font>
      <fill>
        <patternFill>
          <bgColor theme="8" tint="0.7999816888943144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border>
        <left style="thin">
          <color auto="1"/>
        </left>
        <right style="thin">
          <color auto="1"/>
        </right>
        <top style="thin">
          <color auto="1"/>
        </top>
        <bottom style="thin">
          <color auto="1"/>
        </bottom>
      </border>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ill>
        <patternFill>
          <bgColor theme="4"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FF8B8B"/>
        </patternFill>
      </fill>
    </dxf>
    <dxf>
      <fill>
        <patternFill>
          <bgColor rgb="FFD0EAB4"/>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rgb="FFD0EAB4"/>
        </patternFill>
      </fill>
    </dxf>
    <dxf>
      <fill>
        <patternFill>
          <bgColor theme="6" tint="0.79998168889431442"/>
        </patternFill>
      </fill>
    </dxf>
    <dxf>
      <fill>
        <patternFill>
          <bgColor rgb="FFD0EAB4"/>
        </patternFill>
      </fill>
    </dxf>
    <dxf>
      <fill>
        <patternFill>
          <bgColor rgb="FFFF8B8B"/>
        </patternFill>
      </fill>
    </dxf>
    <dxf>
      <fill>
        <patternFill>
          <bgColor rgb="FFD0EAB4"/>
        </patternFill>
      </fill>
    </dxf>
    <dxf>
      <fill>
        <patternFill>
          <bgColor theme="6" tint="0.79998168889431442"/>
        </patternFill>
      </fill>
    </dxf>
    <dxf>
      <fill>
        <patternFill>
          <bgColor rgb="FFFF8B8B"/>
        </patternFill>
      </fill>
    </dxf>
    <dxf>
      <fill>
        <patternFill>
          <bgColor rgb="FFFF8B8B"/>
        </patternFill>
      </fill>
    </dxf>
    <dxf>
      <fill>
        <patternFill>
          <bgColor rgb="FFD0EAB4"/>
        </patternFill>
      </fill>
    </dxf>
    <dxf>
      <fill>
        <patternFill>
          <bgColor theme="6" tint="0.79998168889431442"/>
        </patternFill>
      </fill>
    </dxf>
    <dxf>
      <fill>
        <patternFill>
          <bgColor rgb="FFD0EAB4"/>
        </patternFill>
      </fill>
    </dxf>
    <dxf>
      <fill>
        <patternFill>
          <bgColor theme="6" tint="0.79998168889431442"/>
        </patternFill>
      </fill>
    </dxf>
    <dxf>
      <fill>
        <patternFill>
          <bgColor rgb="FFFF8B8B"/>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theme="6" tint="0.79998168889431442"/>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rgb="FFD0EAB4"/>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92D050"/>
        </patternFill>
      </fill>
    </dxf>
    <dxf>
      <fill>
        <patternFill>
          <bgColor rgb="FFFFBDBD"/>
        </patternFill>
      </fill>
    </dxf>
    <dxf>
      <fill>
        <patternFill>
          <bgColor theme="7" tint="0.39994506668294322"/>
        </patternFill>
      </fill>
    </dxf>
    <dxf>
      <fill>
        <patternFill>
          <bgColor theme="1" tint="0.499984740745262"/>
        </patternFill>
      </fill>
    </dxf>
    <dxf>
      <fill>
        <patternFill>
          <bgColor theme="1" tint="0.499984740745262"/>
        </patternFill>
      </fill>
    </dxf>
    <dxf>
      <fill>
        <patternFill>
          <bgColor theme="6" tint="0.79998168889431442"/>
        </patternFill>
      </fill>
    </dxf>
    <dxf>
      <fill>
        <patternFill>
          <bgColor rgb="FFFF8B8B"/>
        </patternFill>
      </fill>
    </dxf>
    <dxf>
      <fill>
        <patternFill>
          <bgColor theme="0" tint="-0.499984740745262"/>
        </patternFill>
      </fill>
    </dxf>
    <dxf>
      <fill>
        <patternFill>
          <bgColor theme="0" tint="-0.499984740745262"/>
        </patternFill>
      </fill>
    </dxf>
    <dxf>
      <font>
        <b/>
        <i val="0"/>
        <color rgb="FFC00000"/>
      </font>
      <fill>
        <patternFill>
          <bgColor rgb="FFFFFF00"/>
        </patternFill>
      </fill>
    </dxf>
    <dxf>
      <font>
        <b/>
        <i val="0"/>
        <color rgb="FFC00000"/>
      </font>
      <fill>
        <patternFill>
          <bgColor rgb="FFFFFF00"/>
        </patternFill>
      </fill>
    </dxf>
    <dxf>
      <fill>
        <patternFill>
          <bgColor theme="0" tint="-0.499984740745262"/>
        </patternFill>
      </fill>
    </dxf>
  </dxfs>
  <tableStyles count="0" defaultTableStyle="TableStyleMedium2" defaultPivotStyle="PivotStyleLight16"/>
  <colors>
    <mruColors>
      <color rgb="FFFFC7CE"/>
      <color rgb="FFA7001E"/>
      <color rgb="FFFFC7C7"/>
      <color rgb="FF009242"/>
      <color rgb="FFFFFFFF"/>
      <color rgb="FFCCFF99"/>
      <color rgb="FFF1E8F8"/>
      <color rgb="FFCCCCFF"/>
      <color rgb="FFE1CCF0"/>
      <color rgb="FFC198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215900</xdr:colOff>
      <xdr:row>0</xdr:row>
      <xdr:rowOff>0</xdr:rowOff>
    </xdr:from>
    <xdr:to>
      <xdr:col>1</xdr:col>
      <xdr:colOff>1301750</xdr:colOff>
      <xdr:row>3</xdr:row>
      <xdr:rowOff>149226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0"/>
          <a:ext cx="1085850" cy="885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50800</xdr:colOff>
      <xdr:row>1</xdr:row>
      <xdr:rowOff>0</xdr:rowOff>
    </xdr:from>
    <xdr:to>
      <xdr:col>2</xdr:col>
      <xdr:colOff>727176</xdr:colOff>
      <xdr:row>2</xdr:row>
      <xdr:rowOff>38100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6400" y="177800"/>
          <a:ext cx="1120876" cy="914400"/>
        </a:xfrm>
        <a:prstGeom prst="rect">
          <a:avLst/>
        </a:prstGeom>
      </xdr:spPr>
    </xdr:pic>
    <xdr:clientData/>
  </xdr:twoCellAnchor>
  <xdr:twoCellAnchor editAs="oneCell">
    <xdr:from>
      <xdr:col>13</xdr:col>
      <xdr:colOff>127000</xdr:colOff>
      <xdr:row>1</xdr:row>
      <xdr:rowOff>0</xdr:rowOff>
    </xdr:from>
    <xdr:to>
      <xdr:col>13</xdr:col>
      <xdr:colOff>1023112</xdr:colOff>
      <xdr:row>2</xdr:row>
      <xdr:rowOff>37734</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588500" y="177800"/>
          <a:ext cx="896112" cy="9140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304800</xdr:colOff>
      <xdr:row>1</xdr:row>
      <xdr:rowOff>12700</xdr:rowOff>
    </xdr:from>
    <xdr:to>
      <xdr:col>2</xdr:col>
      <xdr:colOff>446024</xdr:colOff>
      <xdr:row>2</xdr:row>
      <xdr:rowOff>291860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200" y="101600"/>
          <a:ext cx="1106424" cy="914160"/>
        </a:xfrm>
        <a:prstGeom prst="rect">
          <a:avLst/>
        </a:prstGeom>
      </xdr:spPr>
    </xdr:pic>
    <xdr:clientData/>
  </xdr:twoCellAnchor>
  <xdr:twoCellAnchor editAs="oneCell">
    <xdr:from>
      <xdr:col>11</xdr:col>
      <xdr:colOff>72571</xdr:colOff>
      <xdr:row>1</xdr:row>
      <xdr:rowOff>52616</xdr:rowOff>
    </xdr:from>
    <xdr:to>
      <xdr:col>11</xdr:col>
      <xdr:colOff>968683</xdr:colOff>
      <xdr:row>2</xdr:row>
      <xdr:rowOff>328066</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502571" y="143330"/>
          <a:ext cx="896112" cy="9104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256</xdr:row>
          <xdr:rowOff>63500</xdr:rowOff>
        </xdr:from>
        <xdr:to>
          <xdr:col>1</xdr:col>
          <xdr:colOff>495300</xdr:colOff>
          <xdr:row>256</xdr:row>
          <xdr:rowOff>190500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3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261</xdr:row>
          <xdr:rowOff>63500</xdr:rowOff>
        </xdr:from>
        <xdr:to>
          <xdr:col>1</xdr:col>
          <xdr:colOff>495300</xdr:colOff>
          <xdr:row>261</xdr:row>
          <xdr:rowOff>190500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3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267</xdr:row>
          <xdr:rowOff>25400</xdr:rowOff>
        </xdr:from>
        <xdr:to>
          <xdr:col>1</xdr:col>
          <xdr:colOff>495300</xdr:colOff>
          <xdr:row>267</xdr:row>
          <xdr:rowOff>254000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292100</xdr:colOff>
          <xdr:row>273</xdr:row>
          <xdr:rowOff>25400</xdr:rowOff>
        </xdr:from>
        <xdr:to>
          <xdr:col>1</xdr:col>
          <xdr:colOff>520700</xdr:colOff>
          <xdr:row>273</xdr:row>
          <xdr:rowOff>241300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152400</xdr:colOff>
      <xdr:row>1</xdr:row>
      <xdr:rowOff>101600</xdr:rowOff>
    </xdr:from>
    <xdr:to>
      <xdr:col>2</xdr:col>
      <xdr:colOff>302696</xdr:colOff>
      <xdr:row>1</xdr:row>
      <xdr:rowOff>1015760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1800" y="279400"/>
          <a:ext cx="1102796" cy="914160"/>
        </a:xfrm>
        <a:prstGeom prst="rect">
          <a:avLst/>
        </a:prstGeom>
      </xdr:spPr>
    </xdr:pic>
    <xdr:clientData/>
  </xdr:twoCellAnchor>
  <xdr:twoCellAnchor editAs="oneCell">
    <xdr:from>
      <xdr:col>6</xdr:col>
      <xdr:colOff>2064657</xdr:colOff>
      <xdr:row>1</xdr:row>
      <xdr:rowOff>141516</xdr:rowOff>
    </xdr:from>
    <xdr:to>
      <xdr:col>6</xdr:col>
      <xdr:colOff>2960769</xdr:colOff>
      <xdr:row>1</xdr:row>
      <xdr:rowOff>1051966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91057" y="319316"/>
          <a:ext cx="896112" cy="9104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304800</xdr:colOff>
          <xdr:row>251</xdr:row>
          <xdr:rowOff>63500</xdr:rowOff>
        </xdr:from>
        <xdr:to>
          <xdr:col>1</xdr:col>
          <xdr:colOff>495300</xdr:colOff>
          <xdr:row>251</xdr:row>
          <xdr:rowOff>190500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278</xdr:row>
          <xdr:rowOff>25400</xdr:rowOff>
        </xdr:from>
        <xdr:to>
          <xdr:col>1</xdr:col>
          <xdr:colOff>495300</xdr:colOff>
          <xdr:row>293</xdr:row>
          <xdr:rowOff>50800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300-000007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292100</xdr:colOff>
          <xdr:row>284</xdr:row>
          <xdr:rowOff>25400</xdr:rowOff>
        </xdr:from>
        <xdr:to>
          <xdr:col>1</xdr:col>
          <xdr:colOff>520700</xdr:colOff>
          <xdr:row>293</xdr:row>
          <xdr:rowOff>25400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300-000008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292100</xdr:colOff>
          <xdr:row>290</xdr:row>
          <xdr:rowOff>25400</xdr:rowOff>
        </xdr:from>
        <xdr:to>
          <xdr:col>1</xdr:col>
          <xdr:colOff>520700</xdr:colOff>
          <xdr:row>293</xdr:row>
          <xdr:rowOff>25400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300-000009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10</xdr:col>
      <xdr:colOff>50800</xdr:colOff>
      <xdr:row>1</xdr:row>
      <xdr:rowOff>196850</xdr:rowOff>
    </xdr:from>
    <xdr:to>
      <xdr:col>10</xdr:col>
      <xdr:colOff>880722</xdr:colOff>
      <xdr:row>1</xdr:row>
      <xdr:rowOff>1158875</xdr:rowOff>
    </xdr:to>
    <xdr:pic>
      <xdr:nvPicPr>
        <xdr:cNvPr id="2" name="Picture 9" descr="CAAHEP logo">
          <a:extLst>
            <a:ext uri="{FF2B5EF4-FFF2-40B4-BE49-F238E27FC236}">
              <a16:creationId xmlns:a16="http://schemas.microsoft.com/office/drawing/2014/main" id="{00000000-0008-0000-04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4097" t="14703" r="20572" b="20456"/>
        <a:stretch/>
      </xdr:blipFill>
      <xdr:spPr bwMode="auto">
        <a:xfrm>
          <a:off x="11201400" y="374650"/>
          <a:ext cx="829922" cy="962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254000</xdr:colOff>
      <xdr:row>1</xdr:row>
      <xdr:rowOff>114300</xdr:rowOff>
    </xdr:from>
    <xdr:to>
      <xdr:col>2</xdr:col>
      <xdr:colOff>184150</xdr:colOff>
      <xdr:row>1</xdr:row>
      <xdr:rowOff>1000126</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3400" y="292100"/>
          <a:ext cx="1085850" cy="8858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Lisa's%20Place/2015%20SSR/Old%20EA/Old%20EASV%20Report%20CSSR%202015%20Standards%20SSFold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Users/Lisa/Downloads/ISSR-2015%20Revised%202016.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A-I-CSSR"/>
      <sheetName val="Cover Page"/>
      <sheetName val="SV Findings"/>
      <sheetName val="Summary of Findings"/>
      <sheetName val="Response to the EA"/>
      <sheetName val="Interview Questions"/>
    </sheetNames>
    <sheetDataSet>
      <sheetData sheetId="0">
        <row r="25">
          <cell r="W25" t="str">
            <v>Yes</v>
          </cell>
        </row>
        <row r="26">
          <cell r="W26" t="str">
            <v>No</v>
          </cell>
        </row>
        <row r="27">
          <cell r="W27" t="str">
            <v>Inactive</v>
          </cell>
        </row>
      </sheetData>
      <sheetData sheetId="1">
        <row r="3">
          <cell r="U3" t="str">
            <v>Alex Stadthagen, MS, NRP, LP</v>
          </cell>
          <cell r="AA3" t="str">
            <v>Alex Stadthagen, MS, NRP, LP</v>
          </cell>
          <cell r="AF3" t="str">
            <v>Alex Stadthagen, MS, NRP, LP</v>
          </cell>
          <cell r="AK3" t="str">
            <v>Alex Stadthagen, MS, NRP, LP</v>
          </cell>
        </row>
        <row r="4">
          <cell r="U4" t="str">
            <v>Andrew Stern, MPA, MA, NRP</v>
          </cell>
          <cell r="AA4" t="str">
            <v>Andrew Stern, MPA, MA, NRP</v>
          </cell>
          <cell r="AF4" t="str">
            <v>Andrew Stern, MPA, MA, NRP</v>
          </cell>
          <cell r="AK4" t="str">
            <v>Andrew Stern, MPA, MA, NRP</v>
          </cell>
        </row>
        <row r="5">
          <cell r="U5" t="str">
            <v>Anthony Conrardy, MBA, MA, EMT-P, CIC</v>
          </cell>
          <cell r="AA5" t="str">
            <v>Anthony Conrardy, MBA, MA, EMT-P, CIC</v>
          </cell>
          <cell r="AF5" t="str">
            <v>Anthony Conrardy, MBA, MA, EMT-P, CIC</v>
          </cell>
          <cell r="AK5" t="str">
            <v>Anthony Conrardy, MBA, MA, EMT-P, CIC</v>
          </cell>
        </row>
        <row r="6">
          <cell r="U6" t="str">
            <v>Arthur Hsieh, MA, NRP</v>
          </cell>
          <cell r="AA6" t="str">
            <v>Arthur Hsieh, MA, NRP</v>
          </cell>
          <cell r="AF6" t="str">
            <v>Arthur Hsieh, MA, NRP</v>
          </cell>
          <cell r="AK6" t="str">
            <v>Arthur Hsieh, MA, NRP</v>
          </cell>
        </row>
        <row r="7">
          <cell r="U7" t="str">
            <v>Azeemuddin Ahmed, MD, MBA</v>
          </cell>
          <cell r="AA7" t="str">
            <v>Azeemuddin Ahmed, MD, MBA</v>
          </cell>
          <cell r="AF7" t="str">
            <v>Azeemuddin Ahmed, MD, MBA</v>
          </cell>
          <cell r="AK7" t="str">
            <v>Azeemuddin Ahmed, MD, MBA</v>
          </cell>
        </row>
        <row r="8">
          <cell r="U8" t="str">
            <v>Beth Natter, RN, BSN, EMT</v>
          </cell>
          <cell r="AA8" t="str">
            <v>Beth Natter, RN, BSN, EMT</v>
          </cell>
          <cell r="AF8" t="str">
            <v>Beth Natter, RN, BSN, EMT</v>
          </cell>
          <cell r="AK8" t="str">
            <v>Beth Natter, RN, BSN, EMT</v>
          </cell>
        </row>
        <row r="9">
          <cell r="U9" t="str">
            <v>Bill Drees, EdD, NRP</v>
          </cell>
          <cell r="AA9" t="str">
            <v>Bill Drees, EdD, NRP</v>
          </cell>
          <cell r="AF9" t="str">
            <v>Bill Drees, EdD, NRP</v>
          </cell>
          <cell r="AK9" t="str">
            <v>Bill Drees, EdD, NRP</v>
          </cell>
        </row>
        <row r="10">
          <cell r="U10" t="str">
            <v>Bill Young, EdD, NRP</v>
          </cell>
          <cell r="AA10" t="str">
            <v>Bill Young, EdD, NRP</v>
          </cell>
          <cell r="AF10" t="str">
            <v>Bill Young, EdD, NRP</v>
          </cell>
          <cell r="AK10" t="str">
            <v>Bill Young, EdD, NRP</v>
          </cell>
        </row>
        <row r="11">
          <cell r="U11" t="str">
            <v>Bradley E Dean, MA, NRP</v>
          </cell>
          <cell r="AA11" t="str">
            <v>Bradley E Dean, MA, NRP</v>
          </cell>
          <cell r="AF11" t="str">
            <v>Bradley E Dean, MA, NRP</v>
          </cell>
          <cell r="AK11" t="str">
            <v>Bradley E Dean, MA, NRP</v>
          </cell>
        </row>
        <row r="12">
          <cell r="U12" t="str">
            <v>Braiden Green, MPA, CCP NCEE</v>
          </cell>
          <cell r="AA12" t="str">
            <v>Braiden Green, MPA, CCP NCEE</v>
          </cell>
          <cell r="AF12" t="str">
            <v>Braiden Green, MPA, CCP NCEE</v>
          </cell>
          <cell r="AK12" t="str">
            <v>Braiden Green, MPA, CCP NCEE</v>
          </cell>
        </row>
        <row r="13">
          <cell r="U13" t="str">
            <v>Brian Hendrickson, MS, EMT-P</v>
          </cell>
          <cell r="AA13" t="str">
            <v>Brian Hendrickson, MS, EMT-P</v>
          </cell>
          <cell r="AF13" t="str">
            <v>Brian Hendrickson, MS, EMT-P</v>
          </cell>
          <cell r="AK13" t="str">
            <v>Brian Hendrickson, MS, EMT-P</v>
          </cell>
        </row>
        <row r="14">
          <cell r="U14" t="str">
            <v>Bryan Ericson, MEd, RN, NRP</v>
          </cell>
          <cell r="AA14" t="str">
            <v>Bryan Ericson, MEd, RN, NRP</v>
          </cell>
          <cell r="AF14" t="str">
            <v>Bryan Ericson, MEd, RN, NRP</v>
          </cell>
          <cell r="AK14" t="str">
            <v>Bryan Ericson, MEd, RN, NRP</v>
          </cell>
        </row>
        <row r="15">
          <cell r="U15" t="str">
            <v>Carl Voskamp, MBA, NRP, LP</v>
          </cell>
          <cell r="AA15" t="str">
            <v>Carl Voskamp, MBA, NRP, LP</v>
          </cell>
          <cell r="AF15" t="str">
            <v>Carl Voskamp, MBA, NRP, LP</v>
          </cell>
          <cell r="AK15" t="str">
            <v>Carl Voskamp, MBA, NRP, LP</v>
          </cell>
        </row>
        <row r="16">
          <cell r="U16" t="str">
            <v>Carol Ferguson, RN, MS, EMT-P</v>
          </cell>
          <cell r="AA16" t="str">
            <v>Carol Ferguson, RN, MS, EMT-P</v>
          </cell>
          <cell r="AF16" t="str">
            <v>Carol Ferguson, RN, MS, EMT-P</v>
          </cell>
          <cell r="AK16" t="str">
            <v>Carol Ferguson, RN, MS, EMT-P</v>
          </cell>
        </row>
        <row r="17">
          <cell r="U17" t="str">
            <v>Charles Foat, PhD, NRP</v>
          </cell>
          <cell r="AA17" t="str">
            <v>Charles Foat, PhD, NRP</v>
          </cell>
          <cell r="AF17" t="str">
            <v>Charles Foat, PhD, NRP</v>
          </cell>
          <cell r="AK17" t="str">
            <v>Charles Foat, PhD, NRP</v>
          </cell>
        </row>
        <row r="18">
          <cell r="U18" t="str">
            <v>Charles H Morton, BS, EMT-P</v>
          </cell>
          <cell r="AA18" t="str">
            <v>Charles H Morton, BS, EMT-P</v>
          </cell>
          <cell r="AF18" t="str">
            <v>Charles H Morton, BS, EMT-P</v>
          </cell>
          <cell r="AK18" t="str">
            <v>Charles H Morton, BS, EMT-P</v>
          </cell>
        </row>
        <row r="19">
          <cell r="U19" t="str">
            <v>Charles Sowerbrower, MEd, NRP, CCP-C</v>
          </cell>
          <cell r="AA19" t="str">
            <v>Charles Sowerbrower, MEd, NRP, CCP-C</v>
          </cell>
          <cell r="AF19" t="str">
            <v>Charles Sowerbrower, MEd, NRP, CCP-C</v>
          </cell>
          <cell r="AK19" t="str">
            <v>Charles Sowerbrower, MEd, NRP, CCP-C</v>
          </cell>
        </row>
        <row r="20">
          <cell r="U20" t="str">
            <v>Chris Caulkins, EdD, MPH, MA, NRP</v>
          </cell>
          <cell r="AA20" t="str">
            <v>Chris Caulkins, EdD, MPH, MA, NRP</v>
          </cell>
          <cell r="AF20" t="str">
            <v>Chris Caulkins, EdD, MPH, MA, NRP</v>
          </cell>
          <cell r="AK20" t="str">
            <v>Chris Caulkins, EdD, MPH, MA, NRP</v>
          </cell>
        </row>
        <row r="21">
          <cell r="U21" t="str">
            <v>Chris Hainsworth, MS, NRP</v>
          </cell>
          <cell r="AA21" t="str">
            <v>Chris Hainsworth, MS, NRP</v>
          </cell>
          <cell r="AF21" t="str">
            <v>Chris Hainsworth, MS, NRP</v>
          </cell>
          <cell r="AK21" t="str">
            <v>Chris Hainsworth, MS, NRP</v>
          </cell>
        </row>
        <row r="22">
          <cell r="U22" t="str">
            <v>Chris Nollette, EdD, NRP, LP</v>
          </cell>
          <cell r="AA22" t="str">
            <v>Chris Nollette, EdD, NRP, LP</v>
          </cell>
          <cell r="AF22" t="str">
            <v>Chris Nollette, EdD, NRP, LP</v>
          </cell>
          <cell r="AK22" t="str">
            <v>Chris Nollette, EdD, NRP, LP</v>
          </cell>
        </row>
        <row r="23">
          <cell r="U23" t="str">
            <v>Christopher DeMorse, DHSc, NRP</v>
          </cell>
          <cell r="AA23" t="str">
            <v>Christopher DeMorse, DHSc, NRP</v>
          </cell>
          <cell r="AF23" t="str">
            <v>Christopher DeMorse, DHSc, NRP</v>
          </cell>
          <cell r="AK23" t="str">
            <v>Christopher DeMorse, DHSc, NRP</v>
          </cell>
        </row>
        <row r="24">
          <cell r="U24" t="str">
            <v>Christopher Metsgar, MBA, MS, NRP, CCEMTP</v>
          </cell>
          <cell r="AA24" t="str">
            <v>Christopher Metsgar, MBA, MS, NRP, CCEMTP</v>
          </cell>
          <cell r="AF24" t="str">
            <v>Christopher Metsgar, MBA, MS, NRP, CCEMTP</v>
          </cell>
          <cell r="AK24" t="str">
            <v>Christopher Metsgar, MBA, MS, NRP, CCEMTP</v>
          </cell>
        </row>
        <row r="25">
          <cell r="U25" t="str">
            <v>Clary Mole, MSEM, NRP</v>
          </cell>
          <cell r="AA25" t="str">
            <v>Clary Mole, MSEM, NRP</v>
          </cell>
          <cell r="AF25" t="str">
            <v>Clary Mole, MSEM, NRP</v>
          </cell>
          <cell r="AK25" t="str">
            <v>Clary Mole, MSEM, NRP</v>
          </cell>
        </row>
        <row r="26">
          <cell r="U26" t="str">
            <v>Corey (Bryan) Grayson, EdD, NRP</v>
          </cell>
          <cell r="AA26" t="str">
            <v>Corey (Bryan) Grayson, EdD, NRP</v>
          </cell>
          <cell r="AF26" t="str">
            <v>Corey (Bryan) Grayson, EdD, NRP</v>
          </cell>
          <cell r="AK26" t="str">
            <v>Corey (Bryan) Grayson, EdD, NRP</v>
          </cell>
        </row>
        <row r="27">
          <cell r="U27" t="str">
            <v>Craig Davis, MEd, BS, EMT-P</v>
          </cell>
          <cell r="AA27" t="str">
            <v>Craig Davis, MEd, BS, EMT-P</v>
          </cell>
          <cell r="AF27" t="str">
            <v>Craig Davis, MEd, BS, EMT-P</v>
          </cell>
          <cell r="AK27" t="str">
            <v>Craig Davis, MEd, BS, EMT-P</v>
          </cell>
        </row>
        <row r="28">
          <cell r="U28" t="str">
            <v>Daniel Benard, MBA, EMT-P, I/C</v>
          </cell>
          <cell r="AA28" t="str">
            <v>Daniel Benard, MBA, EMT-P, I/C</v>
          </cell>
          <cell r="AF28" t="str">
            <v>Daniel Benard, MBA, EMT-P, I/C</v>
          </cell>
          <cell r="AK28" t="str">
            <v>Daniel Benard, MBA, EMT-P, I/C</v>
          </cell>
        </row>
        <row r="29">
          <cell r="U29" t="str">
            <v>Daniel Media, MA, RN, EMTP, I/C, PEM</v>
          </cell>
          <cell r="AA29" t="str">
            <v>Daniel Media, MA, RN, EMTP, I/C, PEM</v>
          </cell>
          <cell r="AF29" t="str">
            <v>Daniel Media, MA, RN, EMTP, I/C, PEM</v>
          </cell>
          <cell r="AK29" t="str">
            <v>Daniel Media, MA, RN, EMTP, I/C, PEM</v>
          </cell>
        </row>
        <row r="30">
          <cell r="U30" t="str">
            <v>Darryl Cleveland, BS, LP, EMT-P, CFO</v>
          </cell>
          <cell r="AA30" t="str">
            <v>Darryl Cleveland, BS, LP, EMT-P, CFO</v>
          </cell>
          <cell r="AF30" t="str">
            <v>Darryl Cleveland, BS, LP, EMT-P, CFO</v>
          </cell>
          <cell r="AK30" t="str">
            <v>Darryl Cleveland, BS, LP, EMT-P, CFO</v>
          </cell>
        </row>
        <row r="31">
          <cell r="U31" t="str">
            <v>David Becker, MA, EMT-P, EFO</v>
          </cell>
          <cell r="AA31" t="str">
            <v>David Becker, MA, EMT-P, EFO</v>
          </cell>
          <cell r="AF31" t="str">
            <v>David Becker, MA, EMT-P, EFO</v>
          </cell>
          <cell r="AK31" t="str">
            <v>David Becker, MA, EMT-P, EFO</v>
          </cell>
        </row>
        <row r="32">
          <cell r="U32" t="str">
            <v>David Cauthen, PsyD, EMT-P, IC</v>
          </cell>
          <cell r="AA32" t="str">
            <v>David Cauthen, PsyD, EMT-P, IC</v>
          </cell>
          <cell r="AF32" t="str">
            <v>David Cauthen, PsyD, EMT-P, IC</v>
          </cell>
          <cell r="AK32" t="str">
            <v>David Cauthen, PsyD, EMT-P, IC</v>
          </cell>
        </row>
        <row r="33">
          <cell r="U33" t="str">
            <v>David Hunt, MPA, NRP</v>
          </cell>
          <cell r="AA33" t="str">
            <v>David Hunt, MPA, NRP</v>
          </cell>
          <cell r="AF33" t="str">
            <v>David Hunt, MPA, NRP</v>
          </cell>
          <cell r="AK33" t="str">
            <v>David Hunt, MPA, NRP</v>
          </cell>
        </row>
        <row r="34">
          <cell r="U34" t="str">
            <v>David Page, MS, NRP</v>
          </cell>
          <cell r="AA34" t="str">
            <v>David Page, MS, NRP</v>
          </cell>
          <cell r="AF34" t="str">
            <v>David Page, MS, NRP</v>
          </cell>
          <cell r="AK34" t="str">
            <v>David Page, MS, NRP</v>
          </cell>
        </row>
        <row r="35">
          <cell r="U35" t="str">
            <v>Debra Cason, MS, RN, EMT-P</v>
          </cell>
          <cell r="AA35" t="str">
            <v>Debra Cason, MS, RN, EMT-P</v>
          </cell>
          <cell r="AF35" t="str">
            <v>Debra Cason, MS, RN, EMT-P</v>
          </cell>
          <cell r="AK35" t="str">
            <v>Debra Cason, MS, RN, EMT-P</v>
          </cell>
        </row>
        <row r="36">
          <cell r="U36" t="str">
            <v>Denise Wilfong, PhD,  NRP</v>
          </cell>
          <cell r="AA36" t="str">
            <v>Denise Wilfong, PhD,  NRP</v>
          </cell>
          <cell r="AF36" t="str">
            <v>Denise Wilfong, PhD,  NRP</v>
          </cell>
          <cell r="AK36" t="str">
            <v>Denise Wilfong, PhD,  NRP</v>
          </cell>
        </row>
        <row r="37">
          <cell r="U37" t="str">
            <v>Dennis Allin, MD, FACEP, FAAEM</v>
          </cell>
          <cell r="AA37" t="str">
            <v>Dennis Allin, MD, FACEP, FAAEM</v>
          </cell>
          <cell r="AF37" t="str">
            <v>Dennis Allin, MD, FACEP, FAAEM</v>
          </cell>
          <cell r="AK37" t="str">
            <v>Dennis Allin, MD, FACEP, FAAEM</v>
          </cell>
        </row>
        <row r="38">
          <cell r="U38" t="str">
            <v>Dewey Eric Anderson, MHA, EMT-P</v>
          </cell>
          <cell r="AA38" t="str">
            <v>Dewey Eric Anderson, MHA, EMT-P</v>
          </cell>
          <cell r="AF38" t="str">
            <v>Dewey Eric Anderson, MHA, EMT-P</v>
          </cell>
          <cell r="AK38" t="str">
            <v>Dewey Eric Anderson, MHA, EMT-P</v>
          </cell>
        </row>
        <row r="39">
          <cell r="U39" t="str">
            <v>Diane Flint, DPA, MS, NRP, CCEMTP</v>
          </cell>
          <cell r="AA39" t="str">
            <v>Diane Flint, DPA, MS, NRP, CCEMTP</v>
          </cell>
          <cell r="AF39" t="str">
            <v>Diane Flint, DPA, MS, NRP, CCEMTP</v>
          </cell>
          <cell r="AK39" t="str">
            <v>Diane Flint, DPA, MS, NRP, CCEMTP</v>
          </cell>
        </row>
        <row r="40">
          <cell r="U40" t="str">
            <v>Donald Locasto, MD</v>
          </cell>
          <cell r="AA40" t="str">
            <v>Donald Locasto, MD</v>
          </cell>
          <cell r="AF40" t="str">
            <v>Donald Locasto, MD</v>
          </cell>
          <cell r="AK40" t="str">
            <v>Donald Locasto, MD</v>
          </cell>
        </row>
        <row r="41">
          <cell r="U41" t="str">
            <v>Donna G Tidwell, MS, RN, EMT-P</v>
          </cell>
          <cell r="AA41" t="str">
            <v>Donna G Tidwell, MS, RN, EMT-P</v>
          </cell>
          <cell r="AF41" t="str">
            <v>Donna G Tidwell, MS, RN, EMT-P</v>
          </cell>
          <cell r="AK41" t="str">
            <v>Donna G Tidwell, MS, RN, EMT-P</v>
          </cell>
        </row>
        <row r="42">
          <cell r="U42" t="str">
            <v>Douglas Paris, MEd, NRP</v>
          </cell>
          <cell r="AA42" t="str">
            <v>Douglas Paris, MEd, NRP</v>
          </cell>
          <cell r="AF42" t="str">
            <v>Douglas Paris, MEd, NRP</v>
          </cell>
          <cell r="AK42" t="str">
            <v>Douglas Paris, MEd, NRP</v>
          </cell>
        </row>
        <row r="43">
          <cell r="U43" t="str">
            <v>Douglas K York, NRP, PS</v>
          </cell>
          <cell r="AA43" t="str">
            <v>Douglas K York, NRP, PS</v>
          </cell>
          <cell r="AF43" t="str">
            <v>Douglas K York, NRP, PS</v>
          </cell>
          <cell r="AK43" t="str">
            <v>Douglas K York, NRP, PS</v>
          </cell>
        </row>
        <row r="44">
          <cell r="U44" t="str">
            <v>Edward Lee, EdS, NRP, CCEMT-P</v>
          </cell>
          <cell r="AA44" t="str">
            <v>Edward Lee, EdS, NRP, CCEMT-P</v>
          </cell>
          <cell r="AF44" t="str">
            <v>Edward Lee, EdS, NRP, CCEMT-P</v>
          </cell>
          <cell r="AK44" t="str">
            <v>Edward Lee, EdS, NRP, CCEMT-P</v>
          </cell>
        </row>
        <row r="45">
          <cell r="U45" t="str">
            <v>Elaine Karr Remington, MS, EMTP</v>
          </cell>
          <cell r="AA45" t="str">
            <v>Elaine Karr Remington, MS, EMTP</v>
          </cell>
          <cell r="AF45" t="str">
            <v>Elaine Karr Remington, MS, EMTP</v>
          </cell>
          <cell r="AK45" t="str">
            <v>Elaine Karr Remington, MS, EMTP</v>
          </cell>
        </row>
        <row r="46">
          <cell r="U46" t="str">
            <v>Elliot Carhart, EdD, RRT, NRP</v>
          </cell>
          <cell r="AA46" t="str">
            <v>Elliot Carhart, EdD, RRT, NRP</v>
          </cell>
          <cell r="AF46" t="str">
            <v>Elliot Carhart, EdD, RRT, NRP</v>
          </cell>
          <cell r="AK46" t="str">
            <v>Elliot Carhart, EdD, RRT, NRP</v>
          </cell>
        </row>
        <row r="47">
          <cell r="U47" t="str">
            <v>Eric Allmon, MSEd, NRP, NCEE</v>
          </cell>
          <cell r="AA47" t="str">
            <v>Eric Allmon, MSEd, NRP, NCEE</v>
          </cell>
          <cell r="AF47" t="str">
            <v>Eric Allmon, MSEd, NRP, NCEE</v>
          </cell>
          <cell r="AK47" t="str">
            <v>Eric Allmon, MSEd, NRP, NCEE</v>
          </cell>
        </row>
        <row r="48">
          <cell r="U48" t="str">
            <v>Eric Bentley, MD, FACS</v>
          </cell>
          <cell r="AA48" t="str">
            <v>Eric Bentley, MD, FACS</v>
          </cell>
          <cell r="AF48" t="str">
            <v>Eric Bentley, MD, FACS</v>
          </cell>
          <cell r="AK48" t="str">
            <v>Eric Bentley, MD, FACS</v>
          </cell>
        </row>
        <row r="49">
          <cell r="U49" t="str">
            <v>Eve Kwiatkowski, BS, NRP</v>
          </cell>
          <cell r="AA49" t="str">
            <v>Eve Kwiatkowski, BS, NRP</v>
          </cell>
          <cell r="AF49" t="str">
            <v>Eve Kwiatkowski, BS, NRP</v>
          </cell>
          <cell r="AK49" t="str">
            <v>Eve Kwiatkowski, BS, NRP</v>
          </cell>
        </row>
        <row r="50">
          <cell r="U50" t="str">
            <v>Frank Mineo, PhD, EMT-P</v>
          </cell>
          <cell r="AA50" t="str">
            <v>Frank Mineo, PhD, EMT-P</v>
          </cell>
          <cell r="AF50" t="str">
            <v>Frank Mineo, PhD, EMT-P</v>
          </cell>
          <cell r="AK50" t="str">
            <v>Frank Mineo, PhD, EMT-P</v>
          </cell>
        </row>
        <row r="51">
          <cell r="U51" t="str">
            <v>Gary Bonewald, MEd, LP</v>
          </cell>
          <cell r="AA51" t="str">
            <v>Gary Bonewald, MEd, LP</v>
          </cell>
          <cell r="AF51" t="str">
            <v>Gary Bonewald, MEd, LP</v>
          </cell>
          <cell r="AK51" t="str">
            <v>Gary Bonewald, MEd, LP</v>
          </cell>
        </row>
        <row r="52">
          <cell r="U52" t="str">
            <v>Gina Riggs, MEd, CCEMTP</v>
          </cell>
          <cell r="AA52" t="str">
            <v>Gina Riggs, MEd, CCEMTP</v>
          </cell>
          <cell r="AF52" t="str">
            <v>Gina Riggs, MEd, CCEMTP</v>
          </cell>
          <cell r="AK52" t="str">
            <v>Gina Riggs, MEd, CCEMTP</v>
          </cell>
        </row>
        <row r="53">
          <cell r="U53" t="str">
            <v>Glen Mayhew, DHSc, NRP</v>
          </cell>
          <cell r="AA53" t="str">
            <v>Glen Mayhew, DHSc, NRP</v>
          </cell>
          <cell r="AF53" t="str">
            <v>Glen Mayhew, DHSc, NRP</v>
          </cell>
          <cell r="AK53" t="str">
            <v>Glen Mayhew, DHSc, NRP</v>
          </cell>
        </row>
        <row r="54">
          <cell r="U54" t="str">
            <v>Gordon Kokx, PhD, NRP</v>
          </cell>
          <cell r="AA54" t="str">
            <v>Gordon Kokx, PhD, NRP</v>
          </cell>
          <cell r="AF54" t="str">
            <v>Gordon Kokx, PhD, NRP</v>
          </cell>
          <cell r="AK54" t="str">
            <v>Gordon Kokx, PhD, NRP</v>
          </cell>
        </row>
        <row r="55">
          <cell r="U55" t="str">
            <v>Gregory Chapman, BS, RRT, EMT-P</v>
          </cell>
          <cell r="AA55" t="str">
            <v>Gregory Chapman, BS, RRT, EMT-P</v>
          </cell>
          <cell r="AF55" t="str">
            <v>Gregory Chapman, BS, RRT, EMT-P</v>
          </cell>
          <cell r="AK55" t="str">
            <v>Gregory Chapman, BS, RRT, EMT-P</v>
          </cell>
        </row>
        <row r="56">
          <cell r="U56" t="str">
            <v>Gregory Frailey, DO, FACOEP</v>
          </cell>
          <cell r="AA56" t="str">
            <v>Gregory Frailey, DO, FACOEP</v>
          </cell>
          <cell r="AF56" t="str">
            <v>Gregory Frailey, DO, FACOEP</v>
          </cell>
          <cell r="AK56" t="str">
            <v>Gregory Frailey, DO, FACOEP</v>
          </cell>
        </row>
        <row r="57">
          <cell r="U57" t="str">
            <v>Greg Mullen, MS, NRP</v>
          </cell>
          <cell r="AA57" t="str">
            <v>Greg Mullen, MS, NRP</v>
          </cell>
          <cell r="AF57" t="str">
            <v>Greg Mullen, MS, NRP</v>
          </cell>
          <cell r="AK57" t="str">
            <v>Greg Mullen, MS, NRP</v>
          </cell>
        </row>
        <row r="58">
          <cell r="U58" t="str">
            <v>Gregg Lander, BS, NRP</v>
          </cell>
          <cell r="AA58" t="str">
            <v>Gregg Lander, BS, NRP</v>
          </cell>
          <cell r="AF58" t="str">
            <v>Gregg Lander, BS, NRP</v>
          </cell>
          <cell r="AK58" t="str">
            <v>Gregg Lander, BS, NRP</v>
          </cell>
        </row>
        <row r="59">
          <cell r="U59" t="str">
            <v>Jackilyn E Williams, RN, MSN</v>
          </cell>
          <cell r="AA59" t="str">
            <v>Jackilyn E Williams, RN, MSN</v>
          </cell>
          <cell r="AF59" t="str">
            <v>Jackilyn E Williams, RN, MSN</v>
          </cell>
          <cell r="AK59" t="str">
            <v>Jackilyn E Williams, RN, MSN</v>
          </cell>
        </row>
        <row r="60">
          <cell r="U60" t="str">
            <v>James DiClemente, BS, NRP, NCEE</v>
          </cell>
          <cell r="AA60" t="str">
            <v>James DiClemente, BS, NRP, NCEE</v>
          </cell>
          <cell r="AF60" t="str">
            <v>James DiClemente, BS, NRP, NCEE</v>
          </cell>
          <cell r="AK60" t="str">
            <v>James DiClemente, BS, NRP, NCEE</v>
          </cell>
        </row>
        <row r="61">
          <cell r="U61" t="str">
            <v>James Dinsch, MS, NRP, CCEMTP</v>
          </cell>
          <cell r="AA61" t="str">
            <v>James Dinsch, MS, NRP, CCEMTP</v>
          </cell>
          <cell r="AF61" t="str">
            <v>James Dinsch, MS, NRP, CCEMTP</v>
          </cell>
          <cell r="AK61" t="str">
            <v>James Dinsch, MS, NRP, CCEMTP</v>
          </cell>
        </row>
        <row r="62">
          <cell r="U62" t="str">
            <v>James Jones, BAS, NRP</v>
          </cell>
          <cell r="AA62" t="str">
            <v>James Jones, BAS, NRP</v>
          </cell>
          <cell r="AF62" t="str">
            <v>James Jones, BAS, NRP</v>
          </cell>
          <cell r="AK62" t="str">
            <v>James Jones, BAS, NRP</v>
          </cell>
        </row>
        <row r="63">
          <cell r="U63" t="str">
            <v>Jason Hemler, MS, EMT-P</v>
          </cell>
          <cell r="AA63" t="str">
            <v>Jason Hemler, MS, EMT-P</v>
          </cell>
          <cell r="AF63" t="str">
            <v>Jason Hemler, MS, EMT-P</v>
          </cell>
          <cell r="AK63" t="str">
            <v>Jason Hemler, MS, EMT-P</v>
          </cell>
        </row>
        <row r="64">
          <cell r="U64" t="str">
            <v>Jeff Grunow, MSN, NRP, NCEE</v>
          </cell>
          <cell r="AA64" t="str">
            <v>Jeff Grunow, MSN, NRP, NCEE</v>
          </cell>
          <cell r="AF64" t="str">
            <v>Jeff Grunow, MSN, NRP, NCEE</v>
          </cell>
          <cell r="AK64" t="str">
            <v>Jeff Grunow, MSN, NRP, NCEE</v>
          </cell>
        </row>
        <row r="65">
          <cell r="U65" t="str">
            <v>Jeff McDonald, MEd, NRP</v>
          </cell>
          <cell r="AA65" t="str">
            <v>Jeff McDonald, MEd, NRP</v>
          </cell>
          <cell r="AF65" t="str">
            <v>Jeff McDonald, MEd, NRP</v>
          </cell>
          <cell r="AK65" t="str">
            <v>Jeff McDonald, MEd, NRP</v>
          </cell>
        </row>
        <row r="66">
          <cell r="U66" t="str">
            <v>Jerry Findley, MA, LP</v>
          </cell>
          <cell r="AA66" t="str">
            <v>Jerry Findley, MA, LP</v>
          </cell>
          <cell r="AF66" t="str">
            <v>Jerry Findley, MA, LP</v>
          </cell>
          <cell r="AK66" t="str">
            <v>Jerry Findley, MA, LP</v>
          </cell>
        </row>
        <row r="67">
          <cell r="U67" t="str">
            <v>Jesse Davis, MEd, NRP</v>
          </cell>
          <cell r="AA67" t="str">
            <v>Jesse Davis, MEd, NRP</v>
          </cell>
          <cell r="AF67" t="str">
            <v>Jesse Davis, MEd, NRP</v>
          </cell>
          <cell r="AK67" t="str">
            <v>Jesse Davis, MEd, NRP</v>
          </cell>
        </row>
        <row r="68">
          <cell r="U68" t="str">
            <v>Joey Thompson, MEd, EMT-P</v>
          </cell>
          <cell r="AA68" t="str">
            <v>Joey Thompson, MEd, EMT-P</v>
          </cell>
          <cell r="AF68" t="str">
            <v>Joey Thompson, MEd, EMT-P</v>
          </cell>
          <cell r="AK68" t="str">
            <v>Joey Thompson, MEd, EMT-P</v>
          </cell>
        </row>
        <row r="69">
          <cell r="U69" t="str">
            <v>John Brown, MD, MPA, FACEP, FAEMS</v>
          </cell>
          <cell r="AA69" t="str">
            <v>John Brown, MD, MPA, FACEP, FAEMS</v>
          </cell>
          <cell r="AF69" t="str">
            <v>John Brown, MD, MPA, FACEP, FAEMS</v>
          </cell>
          <cell r="AK69" t="str">
            <v>John Brown, MD, MPA, FACEP, FAEMS</v>
          </cell>
        </row>
        <row r="70">
          <cell r="U70" t="str">
            <v>John C Cook, EdD, MBA, NRP</v>
          </cell>
          <cell r="AA70" t="str">
            <v>John C Cook, EdD, MBA, NRP</v>
          </cell>
          <cell r="AF70" t="str">
            <v>John C Cook, EdD, MBA, NRP</v>
          </cell>
          <cell r="AK70" t="str">
            <v>John C Cook, EdD, MBA, NRP</v>
          </cell>
        </row>
        <row r="71">
          <cell r="U71" t="str">
            <v>Jon Berryman, BS, EMT-P</v>
          </cell>
          <cell r="AA71" t="str">
            <v>Jon Berryman, BS, EMT-P</v>
          </cell>
          <cell r="AF71" t="str">
            <v>Jon Berryman, BS, EMT-P</v>
          </cell>
          <cell r="AK71" t="str">
            <v>Jon Berryman, BS, EMT-P</v>
          </cell>
        </row>
        <row r="72">
          <cell r="U72" t="str">
            <v>Jonathan Willoughby, MEd, NRP</v>
          </cell>
          <cell r="AA72" t="str">
            <v>Jonathan Willoughby, MEd, NRP</v>
          </cell>
          <cell r="AF72" t="str">
            <v>Jonathan Willoughby, MEd, NRP</v>
          </cell>
          <cell r="AK72" t="str">
            <v>Jonathan Willoughby, MEd, NRP</v>
          </cell>
        </row>
        <row r="73">
          <cell r="U73" t="str">
            <v>Joseph Mistovich, MEd, NRP</v>
          </cell>
          <cell r="AA73" t="str">
            <v>Joseph Mistovich, MEd, NRP</v>
          </cell>
          <cell r="AF73" t="str">
            <v>Joseph Mistovich, MEd, NRP</v>
          </cell>
          <cell r="AK73" t="str">
            <v>Joseph Mistovich, MEd, NRP</v>
          </cell>
        </row>
        <row r="74">
          <cell r="U74" t="str">
            <v>Joshua Stilley, MD</v>
          </cell>
          <cell r="AA74" t="str">
            <v>Joshua Stilley, MD</v>
          </cell>
          <cell r="AF74" t="str">
            <v>Joshua Stilley, MD</v>
          </cell>
          <cell r="AK74" t="str">
            <v>Joshua Stilley, MD</v>
          </cell>
        </row>
        <row r="75">
          <cell r="U75" t="str">
            <v>Karen Barker, EdD, RN, EMT-P</v>
          </cell>
          <cell r="AA75" t="str">
            <v>Karen Barker, EdD, RN, EMT-P</v>
          </cell>
          <cell r="AF75" t="str">
            <v>Karen Barker, EdD, RN, EMT-P</v>
          </cell>
          <cell r="AK75" t="str">
            <v>Karen Barker, EdD, RN, EMT-P</v>
          </cell>
        </row>
        <row r="76">
          <cell r="U76" t="str">
            <v>Kelli Sears, BS, NRP</v>
          </cell>
          <cell r="AA76" t="str">
            <v>Kelli Sears, BS, NRP</v>
          </cell>
          <cell r="AF76" t="str">
            <v>Kelli Sears, BS, NRP</v>
          </cell>
          <cell r="AK76" t="str">
            <v>Kelli Sears, BS, NRP</v>
          </cell>
        </row>
        <row r="77">
          <cell r="U77" t="str">
            <v>Kelly Weller, EdD, RN, LP</v>
          </cell>
          <cell r="AA77" t="str">
            <v>Kelly Weller, EdD, RN, LP</v>
          </cell>
          <cell r="AF77" t="str">
            <v>Kelly Weller, EdD, RN, LP</v>
          </cell>
          <cell r="AK77" t="str">
            <v>Kelly Weller, EdD, RN, LP</v>
          </cell>
        </row>
        <row r="78">
          <cell r="U78" t="str">
            <v>Kenneth Williams, MDiv, BS, NRP</v>
          </cell>
          <cell r="AA78" t="str">
            <v>Kenneth Williams, MDiv, BS, NRP</v>
          </cell>
          <cell r="AF78" t="str">
            <v>Kenneth Williams, MDiv, BS, NRP</v>
          </cell>
          <cell r="AK78" t="str">
            <v>Kenneth Williams, MDiv, BS, NRP</v>
          </cell>
        </row>
        <row r="79">
          <cell r="U79" t="str">
            <v>Kent Spitler, MSEd, RN, NRP, CPP</v>
          </cell>
          <cell r="AA79" t="str">
            <v>Kent Spitler, MSEd, RN, NRP, CPP</v>
          </cell>
          <cell r="AF79" t="str">
            <v>Kent Spitler, MSEd, RN, NRP, CPP</v>
          </cell>
          <cell r="AK79" t="str">
            <v>Kent Spitler, MSEd, RN, NRP, CPP</v>
          </cell>
        </row>
        <row r="80">
          <cell r="U80" t="str">
            <v>Kim McKenna, PhD, RN, EMT-P</v>
          </cell>
          <cell r="AA80" t="str">
            <v>Kim McKenna, PhD, RN, EMT-P</v>
          </cell>
          <cell r="AF80" t="str">
            <v>Kim McKenna, PhD, RN, EMT-P</v>
          </cell>
          <cell r="AK80" t="str">
            <v>Kim McKenna, PhD, RN, EMT-P</v>
          </cell>
        </row>
        <row r="81">
          <cell r="U81" t="str">
            <v>Kim Miller, MEd, LP</v>
          </cell>
          <cell r="AA81" t="str">
            <v>Kim Miller, MEd, LP</v>
          </cell>
          <cell r="AF81" t="str">
            <v>Kim Miller, MEd, LP</v>
          </cell>
          <cell r="AK81" t="str">
            <v>Kim Miller, MEd, LP</v>
          </cell>
        </row>
        <row r="82">
          <cell r="U82" t="str">
            <v>Kristina Long, MPA, NRP</v>
          </cell>
          <cell r="AA82" t="str">
            <v>Kristina Long, MPA, NRP</v>
          </cell>
          <cell r="AF82" t="str">
            <v>Kristina Long, MPA, NRP</v>
          </cell>
          <cell r="AK82" t="str">
            <v>Kristina Long, MPA, NRP</v>
          </cell>
        </row>
        <row r="83">
          <cell r="U83" t="str">
            <v>Leaugeay Barnes, MS, NRP, CCEMPT</v>
          </cell>
          <cell r="AA83" t="str">
            <v>Leaugeay Barnes, MS, NRP, CCEMPT</v>
          </cell>
          <cell r="AF83" t="str">
            <v>Leaugeay Barnes, MS, NRP, CCEMPT</v>
          </cell>
          <cell r="AK83" t="str">
            <v>Leaugeay Barnes, MS, NRP, CCEMPT</v>
          </cell>
        </row>
        <row r="84">
          <cell r="U84" t="str">
            <v>Linda V Anderson, BSN, RN</v>
          </cell>
          <cell r="AA84" t="str">
            <v>Linda V Anderson, BSN, RN</v>
          </cell>
          <cell r="AF84" t="str">
            <v>Linda V Anderson, BSN, RN</v>
          </cell>
          <cell r="AK84" t="str">
            <v>Linda V Anderson, BSN, RN</v>
          </cell>
        </row>
        <row r="85">
          <cell r="U85" t="str">
            <v>Lindi Holt, PhD, NCEE, NRP</v>
          </cell>
          <cell r="AA85" t="str">
            <v>Lindi Holt, PhD, NCEE, NRP</v>
          </cell>
          <cell r="AF85" t="str">
            <v>Lindi Holt, PhD, NCEE, NRP</v>
          </cell>
          <cell r="AK85" t="str">
            <v>Lindi Holt, PhD, NCEE, NRP</v>
          </cell>
        </row>
        <row r="86">
          <cell r="U86" t="str">
            <v>Lindsay Eakes, BS, NRP</v>
          </cell>
          <cell r="AA86" t="str">
            <v>Lindsay Eakes, BS, NRP</v>
          </cell>
          <cell r="AF86" t="str">
            <v>Lindsay Eakes, BS, NRP</v>
          </cell>
          <cell r="AK86" t="str">
            <v>Lindsay Eakes, BS, NRP</v>
          </cell>
        </row>
        <row r="87">
          <cell r="U87" t="str">
            <v>Louis Mallory, MBA, PMD</v>
          </cell>
          <cell r="AA87" t="str">
            <v>Louis Mallory, MBA, PMD</v>
          </cell>
          <cell r="AF87" t="str">
            <v>Louis Mallory, MBA, PMD</v>
          </cell>
          <cell r="AK87" t="str">
            <v>Louis Mallory, MBA, PMD</v>
          </cell>
        </row>
        <row r="88">
          <cell r="U88" t="str">
            <v>Maia Dorsett, MD, PhD</v>
          </cell>
          <cell r="AA88" t="str">
            <v>Maia Dorsett, MD, PhD</v>
          </cell>
          <cell r="AF88" t="str">
            <v>Maia Dorsett, MD, PhD</v>
          </cell>
          <cell r="AK88" t="str">
            <v>Maia Dorsett, MD, PhD</v>
          </cell>
        </row>
        <row r="89">
          <cell r="U89" t="str">
            <v>Manuel Ramirez, BAT, LP</v>
          </cell>
          <cell r="AA89" t="str">
            <v>Manuel Ramirez, BAT, LP</v>
          </cell>
          <cell r="AF89" t="str">
            <v>Manuel Ramirez, BAT, LP</v>
          </cell>
          <cell r="AK89" t="str">
            <v>Manuel Ramirez, BAT, LP</v>
          </cell>
        </row>
        <row r="90">
          <cell r="U90" t="str">
            <v>Marie S Gospodareck, MA, NRP</v>
          </cell>
          <cell r="AA90" t="str">
            <v>Marie S Gospodareck, MA, NRP</v>
          </cell>
          <cell r="AF90" t="str">
            <v>Marie S Gospodareck, MA, NRP</v>
          </cell>
          <cell r="AK90" t="str">
            <v>Marie S Gospodareck, MA, NRP</v>
          </cell>
        </row>
        <row r="91">
          <cell r="U91" t="str">
            <v>Mark Branon, MA, NRP</v>
          </cell>
          <cell r="AA91" t="str">
            <v>Mark Branon, MA, NRP</v>
          </cell>
          <cell r="AF91" t="str">
            <v>Mark Branon, MA, NRP</v>
          </cell>
          <cell r="AK91" t="str">
            <v>Mark Branon, MA, NRP</v>
          </cell>
        </row>
        <row r="92">
          <cell r="U92" t="str">
            <v>Mark Simpson, MSN, NRP, RN, PHIC</v>
          </cell>
          <cell r="AA92" t="str">
            <v>Mark Simpson, MSN, NRP, RN, PHIC</v>
          </cell>
          <cell r="AF92" t="str">
            <v>Mark Simpson, MSN, NRP, RN, PHIC</v>
          </cell>
          <cell r="AK92" t="str">
            <v>Mark Simpson, MSN, NRP, RN, PHIC</v>
          </cell>
        </row>
        <row r="93">
          <cell r="U93" t="str">
            <v>Megan Corry, EdD, NRP</v>
          </cell>
          <cell r="AA93" t="str">
            <v>Megan Corry, EdD, NRP</v>
          </cell>
          <cell r="AF93" t="str">
            <v>Megan Corry, EdD, NRP</v>
          </cell>
          <cell r="AK93" t="str">
            <v>Megan Corry, EdD, NRP</v>
          </cell>
        </row>
        <row r="94">
          <cell r="U94" t="str">
            <v>Melissa Stuive, MEd, LP</v>
          </cell>
          <cell r="AA94" t="str">
            <v>Melissa Stuive, MEd, LP</v>
          </cell>
          <cell r="AF94" t="str">
            <v>Melissa Stuive, MEd, LP</v>
          </cell>
          <cell r="AK94" t="str">
            <v>Melissa Stuive, MEd, LP</v>
          </cell>
        </row>
        <row r="95">
          <cell r="U95" t="str">
            <v>Michael McLaughlin, PhD, NRP</v>
          </cell>
          <cell r="AA95" t="str">
            <v>Michael McLaughlin, PhD, NRP</v>
          </cell>
          <cell r="AF95" t="str">
            <v>Michael McLaughlin, PhD, NRP</v>
          </cell>
          <cell r="AK95" t="str">
            <v>Michael McLaughlin, PhD, NRP</v>
          </cell>
        </row>
        <row r="96">
          <cell r="U96" t="str">
            <v>Michael Miller, EdD, MS, BSEMS, RN</v>
          </cell>
          <cell r="AA96" t="str">
            <v>Michael Miller, EdD, MS, BSEMS, RN</v>
          </cell>
          <cell r="AF96" t="str">
            <v>Michael Miller, EdD, MS, BSEMS, RN</v>
          </cell>
          <cell r="AK96" t="str">
            <v>Michael Miller, EdD, MS, BSEMS, RN</v>
          </cell>
        </row>
        <row r="97">
          <cell r="U97" t="str">
            <v>Nerina J Stepanovsky, PhD, MSN, RN, EMT-P</v>
          </cell>
          <cell r="AA97" t="str">
            <v>Nerina J Stepanovsky, PhD, MSN, RN, EMT-P</v>
          </cell>
          <cell r="AF97" t="str">
            <v>Nerina J Stepanovsky, PhD, MSN, RN, EMT-P</v>
          </cell>
          <cell r="AK97" t="str">
            <v>Nerina J Stepanovsky, PhD, MSN, RN, EMT-P</v>
          </cell>
        </row>
        <row r="98">
          <cell r="U98" t="str">
            <v>Nicole Cecchini, BS, NRP</v>
          </cell>
          <cell r="AA98" t="str">
            <v>Nicole Cecchini, BS, NRP</v>
          </cell>
          <cell r="AF98" t="str">
            <v>Nicole Cecchini, BS, NRP</v>
          </cell>
          <cell r="AK98" t="str">
            <v>Nicole Cecchini, BS, NRP</v>
          </cell>
        </row>
        <row r="99">
          <cell r="U99" t="str">
            <v>Patricia Rand, MA, NRP</v>
          </cell>
          <cell r="AA99" t="str">
            <v>Patricia Rand, MA, NRP</v>
          </cell>
          <cell r="AF99" t="str">
            <v>Patricia Rand, MA, NRP</v>
          </cell>
          <cell r="AK99" t="str">
            <v>Patricia Rand, MA, NRP</v>
          </cell>
        </row>
        <row r="100">
          <cell r="U100" t="str">
            <v>Patricia Tritt, RN, MA</v>
          </cell>
          <cell r="AA100" t="str">
            <v>Patricia Tritt, RN, MA</v>
          </cell>
          <cell r="AF100" t="str">
            <v>Patricia Tritt, RN, MA</v>
          </cell>
          <cell r="AK100" t="str">
            <v>Patricia Tritt, RN, MA</v>
          </cell>
        </row>
        <row r="101">
          <cell r="U101" t="str">
            <v>Paul Arens, MEd, NRP</v>
          </cell>
          <cell r="AA101" t="str">
            <v>Paul Arens, MEd, NRP</v>
          </cell>
          <cell r="AF101" t="str">
            <v>Paul Arens, MEd, NRP</v>
          </cell>
          <cell r="AK101" t="str">
            <v>Paul Arens, MEd, NRP</v>
          </cell>
        </row>
        <row r="102">
          <cell r="U102" t="str">
            <v>Paul Berlin, MS, NRP</v>
          </cell>
          <cell r="AA102" t="str">
            <v>Paul Berlin, MS, NRP</v>
          </cell>
          <cell r="AF102" t="str">
            <v>Paul Berlin, MS, NRP</v>
          </cell>
          <cell r="AK102" t="str">
            <v>Paul Berlin, MS, NRP</v>
          </cell>
        </row>
        <row r="103">
          <cell r="U103" t="str">
            <v>Paul Blusys, MD, FACEP, FAAFP</v>
          </cell>
          <cell r="AA103" t="str">
            <v>Paul Blusys, MD, FACEP, FAAFP</v>
          </cell>
          <cell r="AF103" t="str">
            <v>Paul Blusys, MD, FACEP, FAAFP</v>
          </cell>
          <cell r="AK103" t="str">
            <v>Paul Blusys, MD, FACEP, FAAFP</v>
          </cell>
        </row>
        <row r="104">
          <cell r="U104" t="str">
            <v>Philip Merck, MBA, NRP</v>
          </cell>
          <cell r="AA104" t="str">
            <v>Philip Merck, MBA, NRP</v>
          </cell>
          <cell r="AF104" t="str">
            <v>Philip Merck, MBA, NRP</v>
          </cell>
          <cell r="AK104" t="str">
            <v>Philip Merck, MBA, NRP</v>
          </cell>
        </row>
        <row r="105">
          <cell r="U105" t="str">
            <v>Randolph Spies, BA, NRP</v>
          </cell>
          <cell r="AA105" t="str">
            <v>Randolph Spies, BA, NRP</v>
          </cell>
          <cell r="AF105" t="str">
            <v>Randolph Spies, BA, NRP</v>
          </cell>
          <cell r="AK105" t="str">
            <v>Randolph Spies, BA, NRP</v>
          </cell>
        </row>
        <row r="106">
          <cell r="U106" t="str">
            <v>Rebecca Brock, BAAS, LP</v>
          </cell>
          <cell r="AA106" t="str">
            <v>Rebecca Brock, BAAS, LP</v>
          </cell>
          <cell r="AF106" t="str">
            <v>Rebecca Brock, BAAS, LP</v>
          </cell>
          <cell r="AK106" t="str">
            <v>Rebecca Brock, BAAS, LP</v>
          </cell>
        </row>
        <row r="107">
          <cell r="U107" t="str">
            <v>Rebecca Burke, BS, NRP, RN</v>
          </cell>
          <cell r="AA107" t="str">
            <v>Rebecca Burke, BS, NRP, RN</v>
          </cell>
          <cell r="AF107" t="str">
            <v>Rebecca Burke, BS, NRP, RN</v>
          </cell>
          <cell r="AK107" t="str">
            <v>Rebecca Burke, BS, NRP, RN</v>
          </cell>
        </row>
        <row r="108">
          <cell r="U108" t="str">
            <v>Rick Ellis, MSEDM, NRP</v>
          </cell>
          <cell r="AA108" t="str">
            <v>Rick Ellis, MSEDM, NRP</v>
          </cell>
          <cell r="AF108" t="str">
            <v>Rick Ellis, MSEDM, NRP</v>
          </cell>
          <cell r="AK108" t="str">
            <v>Rick Ellis, MSEDM, NRP</v>
          </cell>
        </row>
        <row r="109">
          <cell r="U109" t="str">
            <v>Rick Foehr, BA, MICP</v>
          </cell>
          <cell r="AA109" t="str">
            <v>Rick Foehr, BA, MICP</v>
          </cell>
          <cell r="AF109" t="str">
            <v>Rick Foehr, BA, MICP</v>
          </cell>
          <cell r="AK109" t="str">
            <v>Rick Foehr, BA, MICP</v>
          </cell>
        </row>
        <row r="110">
          <cell r="U110" t="str">
            <v>Ritu Sahni, MD, MPH, FACEP, FAEM</v>
          </cell>
          <cell r="AA110" t="str">
            <v>Ritu Sahni, MD, MPH, FACEP, FAEM</v>
          </cell>
          <cell r="AF110" t="str">
            <v>Ritu Sahni, MD, MPH, FACEP, FAEM</v>
          </cell>
          <cell r="AK110" t="str">
            <v>Ritu Sahni, MD, MPH, FACEP, FAEM</v>
          </cell>
        </row>
        <row r="111">
          <cell r="U111" t="str">
            <v>Robert Fontaine, MA</v>
          </cell>
          <cell r="AA111" t="str">
            <v>Robert Fontaine, MA</v>
          </cell>
          <cell r="AF111" t="str">
            <v>Robert Fontaine, MA</v>
          </cell>
          <cell r="AK111" t="str">
            <v>Robert Fontaine, MA</v>
          </cell>
        </row>
        <row r="112">
          <cell r="U112" t="str">
            <v>Robert Henderson, MS, NRP, CCEMTP</v>
          </cell>
          <cell r="AA112" t="str">
            <v>Robert Henderson, MS, NRP, CCEMTP</v>
          </cell>
          <cell r="AF112" t="str">
            <v>Robert Henderson, MS, NRP, CCEMTP</v>
          </cell>
          <cell r="AK112" t="str">
            <v>Robert Henderson, MS, NRP, CCEMTP</v>
          </cell>
        </row>
        <row r="113">
          <cell r="U113" t="str">
            <v>Rod Hackwith, MSEd, NRP</v>
          </cell>
          <cell r="AA113" t="str">
            <v>Rod Hackwith, MSEd, NRP</v>
          </cell>
          <cell r="AF113" t="str">
            <v>Rod Hackwith, MSEd, NRP</v>
          </cell>
          <cell r="AK113" t="str">
            <v>Rod Hackwith, MSEd, NRP</v>
          </cell>
        </row>
        <row r="114">
          <cell r="U114" t="str">
            <v>Rodney McGinnes, MPH, BS, EMT-P</v>
          </cell>
          <cell r="AA114" t="str">
            <v>Rodney McGinnes, MPH, BS, EMT-P</v>
          </cell>
          <cell r="AF114" t="str">
            <v>Rodney McGinnes, MPH, BS, EMT-P</v>
          </cell>
          <cell r="AK114" t="str">
            <v>Rodney McGinnes, MPH, BS, EMT-P</v>
          </cell>
        </row>
        <row r="115">
          <cell r="U115" t="str">
            <v>Ronald Feller, MBA, NRP</v>
          </cell>
          <cell r="AA115" t="str">
            <v>Ronald Feller, MBA, NRP</v>
          </cell>
          <cell r="AF115" t="str">
            <v>Ronald Feller, MBA, NRP</v>
          </cell>
          <cell r="AK115" t="str">
            <v>Ronald Feller, MBA, NRP</v>
          </cell>
        </row>
        <row r="116">
          <cell r="U116" t="str">
            <v>Ronald Lawler, BUS, NRP</v>
          </cell>
          <cell r="AA116" t="str">
            <v>Ronald Lawler, BUS, NRP</v>
          </cell>
          <cell r="AF116" t="str">
            <v>Ronald Lawler, BUS, NRP</v>
          </cell>
          <cell r="AK116" t="str">
            <v>Ronald Lawler, BUS, NRP</v>
          </cell>
        </row>
        <row r="117">
          <cell r="U117" t="str">
            <v>Ryan Batenhorst, MEd, NRP, EMSI</v>
          </cell>
          <cell r="AA117" t="str">
            <v>Ryan Batenhorst, MEd, NRP, EMSI</v>
          </cell>
          <cell r="AF117" t="str">
            <v>Ryan Batenhorst, MEd, NRP, EMSI</v>
          </cell>
          <cell r="AK117" t="str">
            <v>Ryan Batenhorst, MEd, NRP, EMSI</v>
          </cell>
        </row>
        <row r="118">
          <cell r="U118" t="str">
            <v>Sandra Hartley, MS, EMT-P</v>
          </cell>
          <cell r="AA118" t="str">
            <v>Sandra Hartley, MS, EMT-P</v>
          </cell>
          <cell r="AF118" t="str">
            <v>Sandra Hartley, MS, EMT-P</v>
          </cell>
          <cell r="AK118" t="str">
            <v>Sandra Hartley, MS, EMT-P</v>
          </cell>
        </row>
        <row r="119">
          <cell r="U119" t="str">
            <v>Scott Corcoran, MS, CIC, AEMT-P</v>
          </cell>
          <cell r="AA119" t="str">
            <v>Scott Corcoran, MS, CIC, AEMT-P</v>
          </cell>
          <cell r="AF119" t="str">
            <v>Scott Corcoran, MS, CIC, AEMT-P</v>
          </cell>
          <cell r="AK119" t="str">
            <v>Scott Corcoran, MS, CIC, AEMT-P</v>
          </cell>
        </row>
        <row r="120">
          <cell r="U120" t="str">
            <v>Seth Izenberg, MD, FACS</v>
          </cell>
          <cell r="AA120" t="str">
            <v>Seth Izenberg, MD, FACS</v>
          </cell>
          <cell r="AF120" t="str">
            <v>Seth Izenberg, MD, FACS</v>
          </cell>
          <cell r="AK120" t="str">
            <v>Seth Izenberg, MD, FACS</v>
          </cell>
        </row>
        <row r="121">
          <cell r="U121" t="str">
            <v>Sharon Hollingsworth, BS, NRP</v>
          </cell>
          <cell r="AA121" t="str">
            <v>Sharon Hollingsworth, BS, NRP</v>
          </cell>
          <cell r="AF121" t="str">
            <v>Sharon Hollingsworth, BS, NRP</v>
          </cell>
          <cell r="AK121" t="str">
            <v>Sharon Hollingsworth, BS, NRP</v>
          </cell>
        </row>
        <row r="122">
          <cell r="U122" t="str">
            <v>Steven Kolar, MBA, RN, LP</v>
          </cell>
          <cell r="AA122" t="str">
            <v>Steven Kolar, MBA, RN, LP</v>
          </cell>
          <cell r="AF122" t="str">
            <v>Steven Kolar, MBA, RN, LP</v>
          </cell>
          <cell r="AK122" t="str">
            <v>Steven Kolar, MBA, RN, LP</v>
          </cell>
        </row>
        <row r="123">
          <cell r="U123" t="str">
            <v>Steven Moyers, EdD, NRP</v>
          </cell>
          <cell r="AA123" t="str">
            <v>Steven Moyers, EdD, NRP</v>
          </cell>
          <cell r="AF123" t="str">
            <v>Steven Moyers, EdD, NRP</v>
          </cell>
          <cell r="AK123" t="str">
            <v>Steven Moyers, EdD, NRP</v>
          </cell>
        </row>
        <row r="124">
          <cell r="U124" t="str">
            <v>Suzann Schmidt, BA, NRP</v>
          </cell>
          <cell r="AA124" t="str">
            <v>Suzann Schmidt, BA, NRP</v>
          </cell>
          <cell r="AF124" t="str">
            <v>Suzann Schmidt, BA, NRP</v>
          </cell>
          <cell r="AK124" t="str">
            <v>Suzann Schmidt, BA, NRP</v>
          </cell>
        </row>
        <row r="125">
          <cell r="U125" t="str">
            <v>Tammy Samarripa, MPH, EMT-P</v>
          </cell>
          <cell r="AA125" t="str">
            <v>Tammy Samarripa, MPH, EMT-P</v>
          </cell>
          <cell r="AF125" t="str">
            <v>Tammy Samarripa, MPH, EMT-P</v>
          </cell>
          <cell r="AK125" t="str">
            <v>Tammy Samarripa, MPH, EMT-P</v>
          </cell>
        </row>
        <row r="126">
          <cell r="U126" t="str">
            <v>Taylor Ratcliff, MD, FACEP, EMT-P, LP</v>
          </cell>
          <cell r="AA126" t="str">
            <v>Taylor Ratcliff, MD, FACEP, EMT-P, LP</v>
          </cell>
          <cell r="AF126" t="str">
            <v>Taylor Ratcliff, MD, FACEP, EMT-P, LP</v>
          </cell>
          <cell r="AK126" t="str">
            <v>Taylor Ratcliff, MD, FACEP, EMT-P, LP</v>
          </cell>
        </row>
        <row r="127">
          <cell r="U127" t="str">
            <v>Thomas Brazelton III, MD, MPH, FAAP</v>
          </cell>
          <cell r="AA127" t="str">
            <v>Thomas Brazelton III, MD, MPH, FAAP</v>
          </cell>
          <cell r="AF127" t="str">
            <v>Thomas Brazelton III, MD, MPH, FAAP</v>
          </cell>
          <cell r="AK127" t="str">
            <v>Thomas Brazelton III, MD, MPH, FAAP</v>
          </cell>
        </row>
        <row r="128">
          <cell r="U128" t="str">
            <v>Thomas Platt, EdD, NRP</v>
          </cell>
          <cell r="AA128" t="str">
            <v>Thomas Platt, EdD, NRP</v>
          </cell>
          <cell r="AF128" t="str">
            <v>Thomas Platt, EdD, NRP</v>
          </cell>
          <cell r="AK128" t="str">
            <v>Thomas Platt, EdD, NRP</v>
          </cell>
        </row>
        <row r="129">
          <cell r="U129" t="str">
            <v>Thomas Rothrock, RN, MSN, NRP</v>
          </cell>
          <cell r="AA129" t="str">
            <v>Thomas Rothrock, RN, MSN, NRP</v>
          </cell>
          <cell r="AF129" t="str">
            <v>Thomas Rothrock, RN, MSN, NRP</v>
          </cell>
          <cell r="AK129" t="str">
            <v>Thomas Rothrock, RN, MSN, NRP</v>
          </cell>
        </row>
        <row r="130">
          <cell r="U130" t="str">
            <v>Timothy Reitz, BS, NRP, NCEE</v>
          </cell>
          <cell r="AA130" t="str">
            <v>Timothy Reitz, BS, NRP, NCEE</v>
          </cell>
          <cell r="AF130" t="str">
            <v>Timothy Reitz, BS, NRP, NCEE</v>
          </cell>
          <cell r="AK130" t="str">
            <v>Timothy Reitz, BS, NRP, NCEE</v>
          </cell>
        </row>
        <row r="131">
          <cell r="U131" t="str">
            <v>Tracey Franklin, BA, NRP</v>
          </cell>
          <cell r="AA131" t="str">
            <v>Tracey Franklin, BA, NRP</v>
          </cell>
          <cell r="AF131" t="str">
            <v>Tracey Franklin, BA, NRP</v>
          </cell>
          <cell r="AK131" t="str">
            <v>Tracey Franklin, BA, NRP</v>
          </cell>
        </row>
        <row r="132">
          <cell r="U132" t="str">
            <v>Vincent Parker, MSEd, EMT-P</v>
          </cell>
          <cell r="AA132" t="str">
            <v>Vincent Parker, MSEd, EMT-P</v>
          </cell>
          <cell r="AF132" t="str">
            <v>Vincent Parker, MSEd, EMT-P</v>
          </cell>
          <cell r="AK132" t="str">
            <v>Vincent Parker, MSEd, EMT-P</v>
          </cell>
        </row>
        <row r="133">
          <cell r="U133" t="str">
            <v>Walt Stoy, PhD, EMT-P</v>
          </cell>
          <cell r="AA133" t="str">
            <v>Walt Stoy, PhD, EMT-P</v>
          </cell>
          <cell r="AF133" t="str">
            <v>Walt Stoy, PhD, EMT-P</v>
          </cell>
          <cell r="AK133" t="str">
            <v>Walt Stoy, PhD, EMT-P</v>
          </cell>
        </row>
        <row r="134">
          <cell r="U134" t="str">
            <v>William Fritz, BBA, NRP</v>
          </cell>
          <cell r="AA134" t="str">
            <v>William Fritz, BBA, NRP</v>
          </cell>
          <cell r="AF134" t="str">
            <v>William Fritz, BBA, NRP</v>
          </cell>
          <cell r="AK134" t="str">
            <v>William Fritz, BBA, NRP</v>
          </cell>
        </row>
        <row r="135">
          <cell r="U135" t="str">
            <v>William Raynovich, EdD, MPH, NRP</v>
          </cell>
          <cell r="AA135" t="str">
            <v>William Raynovich, EdD, MPH, NRP</v>
          </cell>
          <cell r="AF135" t="str">
            <v>William Raynovich, EdD, MPH, NRP</v>
          </cell>
          <cell r="AK135" t="str">
            <v>William Raynovich, EdD, MPH, NRP</v>
          </cell>
        </row>
        <row r="136">
          <cell r="U136"/>
          <cell r="AA136"/>
          <cell r="AF136"/>
          <cell r="AK136"/>
        </row>
      </sheetData>
      <sheetData sheetId="2">
        <row r="9">
          <cell r="AA9" t="str">
            <v>Please Select</v>
          </cell>
          <cell r="AB9" t="str">
            <v>I.A.1-Post-secondary</v>
          </cell>
          <cell r="AC9" t="str">
            <v>I.A.2.-Foreign post-secondary</v>
          </cell>
          <cell r="AD9" t="str">
            <v>I.A.3.-Hospital Clinical or Medical Center</v>
          </cell>
          <cell r="AE9" t="str">
            <v>I.A.4-Governmental</v>
          </cell>
          <cell r="AF9" t="str">
            <v>I.A.5-Branch of US Armed Forces</v>
          </cell>
          <cell r="AG9" t="str">
            <v>I.B.-Consortium-w/(I.A) College</v>
          </cell>
          <cell r="AH9" t="str">
            <v>I.B.-Consortium-w/(I.A) Hospital</v>
          </cell>
          <cell r="AI9" t="str">
            <v>I.B.-Consortium-w/(I.A) Government</v>
          </cell>
        </row>
      </sheetData>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Title Page"/>
      <sheetName val="General Information"/>
      <sheetName val="Brief History"/>
      <sheetName val="Program Info"/>
      <sheetName val="Standard I"/>
      <sheetName val="Standard II"/>
      <sheetName val="Standard III"/>
      <sheetName val="Standard IV"/>
      <sheetName val="Standard V"/>
      <sheetName val="Appendix A"/>
      <sheetName val="Appendix B"/>
      <sheetName val="Appendix C"/>
      <sheetName val="Appendix D"/>
      <sheetName val="Appendix E"/>
      <sheetName val="Appendix F"/>
      <sheetName val="Appendix G"/>
      <sheetName val="Appendices H - N"/>
      <sheetName val="Appendix O"/>
      <sheetName val="Appendices P - Q"/>
    </sheetNames>
    <sheetDataSet>
      <sheetData sheetId="0" refreshError="1"/>
      <sheetData sheetId="1"/>
      <sheetData sheetId="2"/>
      <sheetData sheetId="3"/>
      <sheetData sheetId="4"/>
      <sheetData sheetId="5">
        <row r="2">
          <cell r="K2" t="str">
            <v>U.S. Post-secondary institution (Standard I.A.1)</v>
          </cell>
        </row>
        <row r="3">
          <cell r="K3" t="str">
            <v>Foreign Post-Secondary Institution (Standard I.A.2)</v>
          </cell>
        </row>
        <row r="4">
          <cell r="K4" t="str">
            <v>Hospital, clinic, or medical center (Standard I.A.3)</v>
          </cell>
        </row>
        <row r="5">
          <cell r="K5" t="str">
            <v>Governmental education or medical service (Standard I.A.4)</v>
          </cell>
        </row>
        <row r="6">
          <cell r="K6" t="str">
            <v>Branch of the United States Armed Forces (Standard I.A.5)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CoAEMSP-2024">
  <a:themeElements>
    <a:clrScheme name="Custom 1">
      <a:dk1>
        <a:srgbClr val="243660"/>
      </a:dk1>
      <a:lt1>
        <a:srgbClr val="FFFFFF"/>
      </a:lt1>
      <a:dk2>
        <a:srgbClr val="318DC0"/>
      </a:dk2>
      <a:lt2>
        <a:srgbClr val="828281"/>
      </a:lt2>
      <a:accent1>
        <a:srgbClr val="F9C921"/>
      </a:accent1>
      <a:accent2>
        <a:srgbClr val="006C61"/>
      </a:accent2>
      <a:accent3>
        <a:srgbClr val="828281"/>
      </a:accent3>
      <a:accent4>
        <a:srgbClr val="318DC0"/>
      </a:accent4>
      <a:accent5>
        <a:srgbClr val="243660"/>
      </a:accent5>
      <a:accent6>
        <a:srgbClr val="C2252F"/>
      </a:accent6>
      <a:hlink>
        <a:srgbClr val="0563C1"/>
      </a:hlink>
      <a:folHlink>
        <a:srgbClr val="4795B7"/>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oAEMSP-2024" id="{13E4A4ED-2BCA-BD4F-B895-9AFB706BD7EC}" vid="{0DA9FDAA-B147-244E-B49F-52024473D48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isa@coaemsp.org" TargetMode="External"/><Relationship Id="rId1" Type="http://schemas.openxmlformats.org/officeDocument/2006/relationships/hyperlink" Target="mailto:george@coaemsp.or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jennifer@coaemsp.org" TargetMode="External"/><Relationship Id="rId7" Type="http://schemas.openxmlformats.org/officeDocument/2006/relationships/comments" Target="../comments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10.bin"/><Relationship Id="rId7" Type="http://schemas.openxmlformats.org/officeDocument/2006/relationships/ctrlProp" Target="../ctrlProps/ctrlProp2.xml"/><Relationship Id="rId12" Type="http://schemas.openxmlformats.org/officeDocument/2006/relationships/ctrlProp" Target="../ctrlProps/ctrlProp7.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4.vml"/><Relationship Id="rId10" Type="http://schemas.openxmlformats.org/officeDocument/2006/relationships/ctrlProp" Target="../ctrlProps/ctrlProp5.xml"/><Relationship Id="rId4" Type="http://schemas.openxmlformats.org/officeDocument/2006/relationships/drawing" Target="../drawings/drawing4.xml"/><Relationship Id="rId9" Type="http://schemas.openxmlformats.org/officeDocument/2006/relationships/ctrlProp" Target="../ctrlProps/ctrlProp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96C2E6"/>
    <pageSetUpPr fitToPage="1"/>
  </sheetPr>
  <dimension ref="A1:AJ82"/>
  <sheetViews>
    <sheetView showGridLines="0" zoomScaleNormal="100" workbookViewId="0">
      <selection activeCell="B7" sqref="B6:K20"/>
    </sheetView>
  </sheetViews>
  <sheetFormatPr baseColWidth="10" defaultColWidth="9.1640625" defaultRowHeight="14" x14ac:dyDescent="0.15"/>
  <cols>
    <col min="1" max="1" width="3.6640625" customWidth="1"/>
    <col min="2" max="2" width="28.1640625" customWidth="1"/>
    <col min="3" max="3" width="15.6640625" customWidth="1"/>
    <col min="4" max="4" width="9.5" customWidth="1"/>
    <col min="5" max="5" width="10.83203125" customWidth="1"/>
    <col min="6" max="6" width="45.33203125" customWidth="1"/>
    <col min="7" max="7" width="9.33203125" customWidth="1"/>
    <col min="8" max="8" width="15.5" customWidth="1"/>
    <col min="9" max="9" width="14.33203125" customWidth="1"/>
    <col min="10" max="10" width="12.6640625" customWidth="1"/>
    <col min="11" max="11" width="12.1640625" customWidth="1"/>
    <col min="12" max="12" width="14.33203125" customWidth="1"/>
    <col min="13" max="13" width="28" customWidth="1"/>
    <col min="14" max="14" width="19.33203125" customWidth="1"/>
    <col min="15" max="15" width="10.83203125" customWidth="1"/>
    <col min="16" max="16" width="10.5" customWidth="1"/>
    <col min="17" max="17" width="13.33203125" customWidth="1"/>
    <col min="18" max="18" width="11.33203125" customWidth="1"/>
  </cols>
  <sheetData>
    <row r="1" spans="1:13" ht="14.5" customHeight="1" x14ac:dyDescent="0.2">
      <c r="C1" s="356" t="s">
        <v>89</v>
      </c>
      <c r="D1" s="356"/>
      <c r="E1" s="356"/>
      <c r="F1" s="356"/>
      <c r="G1" s="12"/>
    </row>
    <row r="2" spans="1:13" ht="14.5" customHeight="1" x14ac:dyDescent="0.2">
      <c r="C2" s="356"/>
      <c r="D2" s="356"/>
      <c r="E2" s="356"/>
      <c r="F2" s="356"/>
      <c r="G2" s="12"/>
    </row>
    <row r="3" spans="1:13" ht="30" customHeight="1" x14ac:dyDescent="0.15">
      <c r="C3" s="357" t="s">
        <v>375</v>
      </c>
      <c r="D3" s="357"/>
      <c r="E3" s="357"/>
      <c r="F3" s="357"/>
      <c r="I3" s="123" t="s">
        <v>90</v>
      </c>
      <c r="J3" s="358" t="s">
        <v>376</v>
      </c>
      <c r="K3" s="358"/>
    </row>
    <row r="4" spans="1:13" x14ac:dyDescent="0.15">
      <c r="F4" s="111" t="s">
        <v>91</v>
      </c>
      <c r="J4" t="s">
        <v>92</v>
      </c>
      <c r="K4" t="s">
        <v>93</v>
      </c>
    </row>
    <row r="5" spans="1:13" ht="18" x14ac:dyDescent="0.2">
      <c r="B5" s="132" t="s">
        <v>94</v>
      </c>
      <c r="C5" s="134"/>
      <c r="D5" s="13"/>
      <c r="H5" s="359" t="s">
        <v>95</v>
      </c>
      <c r="I5" s="360"/>
      <c r="J5" s="14" t="s">
        <v>96</v>
      </c>
      <c r="K5" s="14" t="s">
        <v>96</v>
      </c>
    </row>
    <row r="6" spans="1:13" ht="14.5" customHeight="1" x14ac:dyDescent="0.15">
      <c r="B6" s="133" t="s">
        <v>97</v>
      </c>
      <c r="C6" s="361"/>
      <c r="D6" s="361"/>
      <c r="E6" s="361"/>
      <c r="F6" s="361"/>
      <c r="G6" s="15">
        <f>LEN(C6)</f>
        <v>0</v>
      </c>
      <c r="I6" s="121" t="s">
        <v>323</v>
      </c>
      <c r="J6" s="16"/>
      <c r="K6" s="16"/>
      <c r="L6" s="72"/>
    </row>
    <row r="7" spans="1:13" ht="14.5" customHeight="1" x14ac:dyDescent="0.15">
      <c r="C7" s="361"/>
      <c r="D7" s="361"/>
      <c r="E7" s="361"/>
      <c r="F7" s="361"/>
      <c r="G7" s="17"/>
      <c r="I7" s="121" t="s">
        <v>324</v>
      </c>
      <c r="J7" s="16"/>
      <c r="K7" s="18"/>
      <c r="L7" s="121"/>
    </row>
    <row r="8" spans="1:13" ht="18.75" customHeight="1" x14ac:dyDescent="0.15">
      <c r="B8" s="132" t="s">
        <v>118</v>
      </c>
      <c r="C8" s="354"/>
      <c r="D8" s="355"/>
      <c r="E8" s="132" t="s">
        <v>2</v>
      </c>
      <c r="F8" s="82"/>
      <c r="G8" s="19"/>
      <c r="I8" s="121" t="s">
        <v>325</v>
      </c>
      <c r="J8" s="16"/>
      <c r="K8" s="18"/>
    </row>
    <row r="9" spans="1:13" ht="39" customHeight="1" x14ac:dyDescent="0.15">
      <c r="B9" s="364" t="s">
        <v>357</v>
      </c>
      <c r="C9" s="366" t="s">
        <v>360</v>
      </c>
      <c r="D9" s="366"/>
      <c r="E9" s="366"/>
      <c r="F9" s="366"/>
      <c r="G9" s="19"/>
      <c r="I9" s="121"/>
    </row>
    <row r="10" spans="1:13" ht="24.75" customHeight="1" x14ac:dyDescent="0.15">
      <c r="B10" s="365"/>
      <c r="C10" s="366" t="s">
        <v>359</v>
      </c>
      <c r="D10" s="366"/>
      <c r="E10" s="366"/>
      <c r="F10" s="366"/>
      <c r="G10" s="19"/>
      <c r="I10" s="121"/>
    </row>
    <row r="11" spans="1:13" ht="22.5" customHeight="1" x14ac:dyDescent="0.15">
      <c r="B11" s="365"/>
      <c r="C11" s="366" t="s">
        <v>358</v>
      </c>
      <c r="D11" s="366"/>
      <c r="E11" s="366"/>
      <c r="F11" s="366"/>
      <c r="G11" s="19" t="s">
        <v>100</v>
      </c>
      <c r="I11" s="121"/>
    </row>
    <row r="12" spans="1:13" ht="9.75" customHeight="1" x14ac:dyDescent="0.15">
      <c r="F12" s="1"/>
      <c r="G12" s="11"/>
    </row>
    <row r="13" spans="1:13" ht="73.5" customHeight="1" x14ac:dyDescent="0.15">
      <c r="B13" s="367"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below identified as Resubmit in the Answer/Evidence Provided column are required to be addressed by the applicant program's LoR Application resubmission no later than the date specified in the email.","Any item(s) below that are identified with 'LSSR' in the Answer/Evidence Provided column require edits/revisions when submitting the Letter of Review Self Study Report (LSSR).")</f>
        <v>Any item(s) below that are identified with 'LSSR' in the Answer/Evidence Provided column require edits/revisions when submitting the Letter of Review Self Study Report (LSSR).</v>
      </c>
      <c r="C13" s="368"/>
      <c r="D13" s="368"/>
      <c r="E13" s="368"/>
      <c r="F13" s="369"/>
      <c r="G13" s="19"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1","")</f>
        <v/>
      </c>
    </row>
    <row r="14" spans="1:13" ht="39" x14ac:dyDescent="0.15">
      <c r="B14" s="370" t="s">
        <v>377</v>
      </c>
      <c r="C14" s="371"/>
      <c r="D14" s="127" t="s">
        <v>279</v>
      </c>
      <c r="E14" s="372" t="s">
        <v>344</v>
      </c>
      <c r="F14" s="373"/>
      <c r="G14" s="86"/>
    </row>
    <row r="15" spans="1:13" x14ac:dyDescent="0.15">
      <c r="A15" s="65"/>
      <c r="B15" s="75" t="s">
        <v>349</v>
      </c>
      <c r="C15" s="120"/>
      <c r="D15" s="83"/>
      <c r="E15" s="362"/>
      <c r="F15" s="363"/>
      <c r="G15" s="1"/>
      <c r="H15" s="374"/>
      <c r="I15" s="374"/>
      <c r="J15" s="374"/>
      <c r="K15" s="3"/>
      <c r="L15" s="60"/>
    </row>
    <row r="16" spans="1:13" ht="15" customHeight="1" x14ac:dyDescent="0.15">
      <c r="B16" s="75" t="s">
        <v>350</v>
      </c>
      <c r="C16" s="120"/>
      <c r="D16" s="83"/>
      <c r="E16" s="362"/>
      <c r="F16" s="363"/>
      <c r="G16" s="1"/>
      <c r="H16" s="375"/>
      <c r="I16" s="375"/>
      <c r="J16" s="375"/>
      <c r="K16" s="61"/>
      <c r="L16" s="60"/>
      <c r="M16" t="str">
        <f>IF(L15="Yes","&lt;== Select from drop down","")</f>
        <v/>
      </c>
    </row>
    <row r="17" spans="2:36" ht="15" customHeight="1" x14ac:dyDescent="0.15">
      <c r="B17" s="376" t="s">
        <v>101</v>
      </c>
      <c r="C17" s="377"/>
      <c r="D17" s="377"/>
      <c r="E17" s="377"/>
      <c r="F17" s="378"/>
      <c r="G17" s="1"/>
      <c r="H17" s="74"/>
      <c r="I17" s="87"/>
      <c r="J17" s="88" t="s">
        <v>278</v>
      </c>
      <c r="K17" s="88" t="s">
        <v>378</v>
      </c>
      <c r="L17" s="89" t="s">
        <v>369</v>
      </c>
      <c r="M17" s="126"/>
      <c r="N17" s="90"/>
      <c r="O17" s="19"/>
      <c r="P17" s="19"/>
      <c r="Q17" s="19"/>
      <c r="R17" s="19"/>
      <c r="S17" s="19"/>
      <c r="T17" s="19"/>
      <c r="U17" s="19"/>
    </row>
    <row r="18" spans="2:36" x14ac:dyDescent="0.15">
      <c r="B18" s="75" t="s">
        <v>379</v>
      </c>
      <c r="C18" s="33"/>
      <c r="D18" s="83"/>
      <c r="E18" s="362"/>
      <c r="F18" s="363"/>
      <c r="G18" s="1"/>
      <c r="I18" s="19"/>
      <c r="J18" s="19"/>
      <c r="K18" s="91"/>
      <c r="L18" s="91"/>
      <c r="M18" s="19"/>
      <c r="N18" s="19"/>
      <c r="O18" s="19"/>
      <c r="P18" s="19"/>
      <c r="Q18" s="19"/>
      <c r="R18" s="19"/>
      <c r="S18" s="19"/>
      <c r="T18" s="19"/>
      <c r="U18" s="19"/>
    </row>
    <row r="19" spans="2:36" ht="15" customHeight="1" x14ac:dyDescent="0.15">
      <c r="B19" s="379" t="s">
        <v>345</v>
      </c>
      <c r="C19" s="380"/>
      <c r="D19" s="85"/>
      <c r="H19" s="73"/>
      <c r="I19" s="92"/>
      <c r="J19" s="92"/>
      <c r="K19" s="92"/>
      <c r="L19" s="92"/>
      <c r="M19" s="93"/>
      <c r="N19" s="94"/>
      <c r="O19" s="93"/>
      <c r="P19" s="95"/>
      <c r="Q19" s="19"/>
      <c r="R19" s="19"/>
      <c r="S19" s="19"/>
      <c r="T19" s="19"/>
      <c r="U19" s="19"/>
    </row>
    <row r="20" spans="2:36" ht="15" customHeight="1" x14ac:dyDescent="0.15">
      <c r="B20" s="379" t="s">
        <v>346</v>
      </c>
      <c r="C20" s="380"/>
      <c r="D20" s="85"/>
      <c r="H20" s="73"/>
      <c r="I20" s="92"/>
      <c r="J20" s="92"/>
      <c r="K20" s="92"/>
      <c r="L20" s="92"/>
      <c r="M20" s="93"/>
      <c r="N20" s="94"/>
      <c r="O20" s="93"/>
      <c r="P20" s="95"/>
      <c r="Q20" s="19"/>
      <c r="R20" s="19"/>
      <c r="S20" s="19"/>
      <c r="T20" s="19"/>
      <c r="U20" s="19"/>
    </row>
    <row r="21" spans="2:36" ht="15" customHeight="1" x14ac:dyDescent="0.15">
      <c r="B21" s="379" t="s">
        <v>347</v>
      </c>
      <c r="C21" s="380"/>
      <c r="D21" s="85"/>
      <c r="H21" s="73"/>
      <c r="I21" s="92"/>
      <c r="J21" s="92"/>
      <c r="K21" s="92"/>
      <c r="L21" s="92"/>
      <c r="M21" s="93"/>
      <c r="N21" s="94"/>
      <c r="O21" s="93"/>
      <c r="P21" s="95"/>
      <c r="Q21" s="19"/>
      <c r="R21" s="19"/>
      <c r="S21" s="19"/>
      <c r="T21" s="19"/>
      <c r="U21" s="19"/>
    </row>
    <row r="22" spans="2:36" ht="15" customHeight="1" x14ac:dyDescent="0.15">
      <c r="B22" s="379" t="s">
        <v>361</v>
      </c>
      <c r="C22" s="380"/>
      <c r="D22" s="85"/>
      <c r="H22" s="73"/>
      <c r="I22" s="92"/>
      <c r="J22" s="92"/>
      <c r="K22" s="92"/>
      <c r="L22" s="92"/>
      <c r="M22" s="93"/>
      <c r="N22" s="94"/>
      <c r="O22" s="93"/>
      <c r="P22" s="95"/>
      <c r="Q22" s="19"/>
      <c r="R22" s="19"/>
      <c r="S22" s="19"/>
      <c r="T22" s="19"/>
      <c r="U22" s="19"/>
    </row>
    <row r="23" spans="2:36" ht="15" customHeight="1" x14ac:dyDescent="0.15">
      <c r="B23" s="75" t="s">
        <v>348</v>
      </c>
      <c r="C23" s="120"/>
      <c r="D23" s="83"/>
      <c r="E23" s="362"/>
      <c r="F23" s="363"/>
      <c r="H23" s="73"/>
      <c r="I23" s="92"/>
      <c r="J23" s="92"/>
      <c r="K23" s="92"/>
      <c r="L23" s="92"/>
      <c r="M23" s="93"/>
      <c r="N23" s="94"/>
      <c r="O23" s="93"/>
      <c r="P23" s="95"/>
      <c r="Q23" s="19"/>
      <c r="R23" s="19"/>
      <c r="S23" s="19"/>
      <c r="T23" s="19"/>
      <c r="U23" s="19"/>
    </row>
    <row r="24" spans="2:36" ht="25.25" customHeight="1" x14ac:dyDescent="0.15">
      <c r="B24" s="381" t="s">
        <v>102</v>
      </c>
      <c r="C24" s="382"/>
      <c r="D24" s="382"/>
      <c r="E24" s="382"/>
      <c r="F24" s="383"/>
      <c r="I24" s="53"/>
      <c r="J24" s="96" t="s">
        <v>278</v>
      </c>
      <c r="K24" s="96" t="s">
        <v>378</v>
      </c>
      <c r="L24" s="96" t="s">
        <v>100</v>
      </c>
      <c r="M24" s="96" t="s">
        <v>369</v>
      </c>
      <c r="N24" s="64"/>
      <c r="O24" s="98"/>
      <c r="P24" s="98"/>
      <c r="Q24" s="19"/>
      <c r="R24" s="19"/>
      <c r="S24" s="19"/>
      <c r="T24" s="19"/>
      <c r="U24" s="19"/>
      <c r="W24" s="63" t="s">
        <v>216</v>
      </c>
    </row>
    <row r="25" spans="2:36" ht="30" customHeight="1" x14ac:dyDescent="0.15">
      <c r="B25" s="384" t="s">
        <v>327</v>
      </c>
      <c r="C25" s="385"/>
      <c r="D25" s="386" t="s">
        <v>380</v>
      </c>
      <c r="E25" s="387"/>
      <c r="F25" s="388"/>
      <c r="I25" s="53"/>
      <c r="J25" s="53"/>
      <c r="K25" s="53"/>
      <c r="L25" s="53"/>
      <c r="M25" s="53"/>
      <c r="N25" s="97"/>
      <c r="O25" s="98"/>
      <c r="P25" s="98"/>
      <c r="Q25" s="19"/>
      <c r="R25" s="19"/>
      <c r="S25" s="19"/>
      <c r="T25" s="19"/>
      <c r="U25" s="19"/>
    </row>
    <row r="26" spans="2:36" ht="22.5" customHeight="1" x14ac:dyDescent="0.15">
      <c r="B26" s="125" t="str">
        <f>IF(LEFT(D25,5)="I.A.1","   IA1 Institutional Accreditor",IF(LEFT(D25,5)="I.A.2","   Foreign Acceptability",IF(LEFT(D25,5)="I.A.3","   IA3 Hosp/Med Cntr Accreditor",IF(LEFT(D25,7)="I.A.4-G","   Gov't Medical or Educational",IF(LEFT(D25,7)="I.A.4-A","   Armed Services Branch",IF(LEFT(D25,23)="I.B-Consortium-w/(I.A)H","   Consortium IA3 Inst Accreditor",IF(LEFT(D25,23)="I.B-Consortium-w/(I.A)C","   Consortium IA1 Inst Accreditor","   Institutional Accreditator")))))))</f>
        <v xml:space="preserve">   Institutional Accreditator</v>
      </c>
      <c r="C26" s="23"/>
      <c r="D26" s="83"/>
      <c r="E26" s="84" t="s">
        <v>212</v>
      </c>
      <c r="F26" s="114"/>
      <c r="I26" s="99" t="s">
        <v>212</v>
      </c>
      <c r="J26" s="99" t="s">
        <v>298</v>
      </c>
      <c r="K26" s="99" t="s">
        <v>299</v>
      </c>
      <c r="L26" s="99" t="s">
        <v>300</v>
      </c>
      <c r="M26" s="99" t="s">
        <v>301</v>
      </c>
      <c r="N26" s="99" t="s">
        <v>302</v>
      </c>
      <c r="O26" s="99" t="s">
        <v>303</v>
      </c>
      <c r="P26" s="99" t="s">
        <v>304</v>
      </c>
      <c r="Q26" s="99" t="s">
        <v>305</v>
      </c>
      <c r="R26" s="99" t="s">
        <v>306</v>
      </c>
      <c r="S26" s="99" t="s">
        <v>307</v>
      </c>
      <c r="T26" s="100" t="s">
        <v>322</v>
      </c>
      <c r="U26" s="99" t="s">
        <v>308</v>
      </c>
      <c r="V26" s="99" t="s">
        <v>309</v>
      </c>
      <c r="W26" s="99" t="s">
        <v>310</v>
      </c>
      <c r="X26" s="99" t="s">
        <v>312</v>
      </c>
      <c r="Y26" s="99" t="s">
        <v>311</v>
      </c>
      <c r="Z26" s="99" t="s">
        <v>314</v>
      </c>
      <c r="AA26" s="99" t="s">
        <v>313</v>
      </c>
      <c r="AB26" s="99" t="s">
        <v>383</v>
      </c>
      <c r="AC26" s="99" t="s">
        <v>315</v>
      </c>
      <c r="AD26" s="99" t="s">
        <v>316</v>
      </c>
      <c r="AE26" s="99" t="s">
        <v>317</v>
      </c>
      <c r="AF26" s="99" t="s">
        <v>318</v>
      </c>
      <c r="AG26" s="100" t="s">
        <v>319</v>
      </c>
      <c r="AH26" s="99" t="s">
        <v>320</v>
      </c>
      <c r="AI26" s="99" t="s">
        <v>321</v>
      </c>
      <c r="AJ26" s="99" t="s">
        <v>100</v>
      </c>
    </row>
    <row r="27" spans="2:36" ht="18" customHeight="1" x14ac:dyDescent="0.15">
      <c r="B27" s="389" t="s">
        <v>326</v>
      </c>
      <c r="C27" s="390"/>
      <c r="D27" s="83"/>
      <c r="E27" s="362"/>
      <c r="F27" s="363"/>
      <c r="I27" s="391"/>
      <c r="J27" s="391"/>
      <c r="K27" s="391"/>
      <c r="L27" s="391"/>
      <c r="M27" s="53"/>
      <c r="N27" s="97"/>
      <c r="O27" s="98"/>
      <c r="P27" s="98"/>
      <c r="Q27" s="19"/>
      <c r="R27" s="19"/>
      <c r="S27" s="19"/>
      <c r="T27" s="19"/>
      <c r="U27" s="19"/>
    </row>
    <row r="28" spans="2:36" ht="18" customHeight="1" x14ac:dyDescent="0.15">
      <c r="B28" s="75" t="s">
        <v>275</v>
      </c>
      <c r="C28" s="23"/>
      <c r="D28" s="83"/>
      <c r="E28" s="362"/>
      <c r="F28" s="363"/>
      <c r="I28" s="19"/>
      <c r="J28" s="19"/>
      <c r="K28" s="19"/>
      <c r="L28" s="19"/>
      <c r="M28" s="19"/>
      <c r="N28" s="101"/>
      <c r="O28" s="19"/>
      <c r="P28" s="98"/>
      <c r="Q28" s="19"/>
      <c r="R28" s="19"/>
      <c r="S28" s="19"/>
      <c r="T28" s="19"/>
      <c r="U28" s="19"/>
    </row>
    <row r="29" spans="2:36" ht="22.5" customHeight="1" x14ac:dyDescent="0.15">
      <c r="B29" s="75" t="s">
        <v>261</v>
      </c>
      <c r="C29" s="34"/>
      <c r="D29" s="83"/>
      <c r="E29" s="84" t="s">
        <v>212</v>
      </c>
      <c r="F29" s="114"/>
      <c r="I29" s="19" t="s">
        <v>212</v>
      </c>
      <c r="J29" s="19" t="s">
        <v>262</v>
      </c>
      <c r="K29" s="19" t="s">
        <v>263</v>
      </c>
      <c r="L29" s="19" t="s">
        <v>264</v>
      </c>
      <c r="M29" s="69" t="s">
        <v>280</v>
      </c>
      <c r="N29" s="19" t="s">
        <v>265</v>
      </c>
      <c r="O29" s="19" t="s">
        <v>266</v>
      </c>
      <c r="P29" s="19" t="s">
        <v>267</v>
      </c>
      <c r="Q29" s="19" t="s">
        <v>268</v>
      </c>
      <c r="R29" s="19" t="s">
        <v>269</v>
      </c>
      <c r="S29" s="19" t="s">
        <v>270</v>
      </c>
      <c r="T29" s="19" t="s">
        <v>271</v>
      </c>
      <c r="U29" s="19"/>
    </row>
    <row r="30" spans="2:36" ht="22.5" customHeight="1" x14ac:dyDescent="0.15">
      <c r="B30" s="75" t="s">
        <v>272</v>
      </c>
      <c r="C30" s="34"/>
      <c r="D30" s="83"/>
      <c r="E30" s="84" t="s">
        <v>212</v>
      </c>
      <c r="F30" s="114"/>
      <c r="H30" s="66"/>
      <c r="I30" s="99" t="s">
        <v>212</v>
      </c>
      <c r="J30" s="102" t="s">
        <v>273</v>
      </c>
      <c r="K30" s="103" t="s">
        <v>282</v>
      </c>
      <c r="L30" s="103" t="s">
        <v>283</v>
      </c>
      <c r="M30" s="104" t="s">
        <v>284</v>
      </c>
      <c r="N30" s="105" t="s">
        <v>281</v>
      </c>
      <c r="O30" s="93" t="str">
        <f>IF($L$16&gt;=1, "LI Approved?","")</f>
        <v/>
      </c>
      <c r="P30" s="93" t="str">
        <f>IF($L$16&gt;=1, "Assistant MD Approved?","")</f>
        <v/>
      </c>
      <c r="Q30" s="93" t="str">
        <f>IF($L$16&gt;=1, "State Office of EMS Approved?","")</f>
        <v/>
      </c>
      <c r="R30" s="93" t="str">
        <f>IF($L$16&gt;=1, "CoAEMSP Approved?","")</f>
        <v/>
      </c>
      <c r="S30" s="19"/>
      <c r="T30" s="19"/>
      <c r="U30" s="19"/>
    </row>
    <row r="31" spans="2:36" ht="22.25" customHeight="1" x14ac:dyDescent="0.15">
      <c r="B31" s="71" t="s">
        <v>274</v>
      </c>
      <c r="C31" s="34"/>
      <c r="D31" s="83"/>
      <c r="E31" s="362"/>
      <c r="F31" s="363"/>
      <c r="H31" t="str">
        <f>IF(L16&gt;=2, "Location #2:","")</f>
        <v/>
      </c>
      <c r="I31" s="392"/>
      <c r="J31" s="392"/>
      <c r="K31" s="392"/>
      <c r="L31" s="392"/>
      <c r="M31" s="19"/>
      <c r="N31" s="101"/>
      <c r="O31" s="98"/>
      <c r="P31" s="98"/>
      <c r="Q31" s="98"/>
      <c r="R31" s="98"/>
      <c r="S31" s="19"/>
      <c r="T31" s="19"/>
      <c r="U31" s="19"/>
    </row>
    <row r="32" spans="2:36" ht="22.25" customHeight="1" x14ac:dyDescent="0.15">
      <c r="B32" s="71" t="s">
        <v>285</v>
      </c>
      <c r="C32" s="34"/>
      <c r="D32" s="83"/>
      <c r="E32" s="84" t="s">
        <v>212</v>
      </c>
      <c r="F32" s="114"/>
      <c r="I32" s="106" t="s">
        <v>212</v>
      </c>
      <c r="J32" s="106" t="s">
        <v>289</v>
      </c>
      <c r="K32" s="106" t="s">
        <v>293</v>
      </c>
      <c r="L32" s="106" t="s">
        <v>294</v>
      </c>
      <c r="M32" s="88" t="s">
        <v>295</v>
      </c>
      <c r="N32" s="107" t="s">
        <v>296</v>
      </c>
      <c r="O32" s="108" t="s">
        <v>297</v>
      </c>
      <c r="P32" s="109" t="s">
        <v>286</v>
      </c>
      <c r="Q32" s="109" t="s">
        <v>290</v>
      </c>
      <c r="R32" s="109" t="s">
        <v>291</v>
      </c>
      <c r="S32" s="109" t="s">
        <v>287</v>
      </c>
      <c r="T32" s="109" t="s">
        <v>292</v>
      </c>
      <c r="U32" s="109" t="s">
        <v>288</v>
      </c>
      <c r="V32" s="70"/>
      <c r="W32" s="70"/>
    </row>
    <row r="33" spans="2:21" ht="22.25" customHeight="1" x14ac:dyDescent="0.15">
      <c r="B33" s="71" t="s">
        <v>276</v>
      </c>
      <c r="C33" s="34"/>
      <c r="D33" s="83" t="s">
        <v>100</v>
      </c>
      <c r="E33" s="84" t="s">
        <v>100</v>
      </c>
      <c r="F33" s="114"/>
      <c r="I33" s="91"/>
      <c r="J33" s="91"/>
      <c r="K33" s="91"/>
      <c r="L33" s="91"/>
      <c r="M33" s="19"/>
      <c r="N33" s="101"/>
      <c r="O33" s="98"/>
      <c r="P33" s="98"/>
      <c r="Q33" s="98"/>
      <c r="R33" s="98"/>
      <c r="S33" s="19"/>
      <c r="T33" s="19"/>
      <c r="U33" s="19"/>
    </row>
    <row r="34" spans="2:21" x14ac:dyDescent="0.15">
      <c r="B34" s="77" t="str">
        <f>IF(LEFT(D25,3)="I.B", "Consortium Agreement", "N/A")</f>
        <v>N/A</v>
      </c>
      <c r="C34" s="34"/>
      <c r="D34" s="83"/>
      <c r="E34" s="362"/>
      <c r="F34" s="363"/>
      <c r="H34" t="str">
        <f>IF(L16&gt;=3, "Location #3:","")</f>
        <v/>
      </c>
      <c r="I34" s="393"/>
      <c r="J34" s="393"/>
      <c r="K34" s="393"/>
      <c r="L34" s="393"/>
      <c r="N34" s="62"/>
      <c r="O34" s="22"/>
      <c r="P34" s="22"/>
      <c r="Q34" s="22"/>
      <c r="R34" s="22"/>
    </row>
    <row r="35" spans="2:21" x14ac:dyDescent="0.15">
      <c r="B35" s="77" t="str">
        <f>IF(LEFT(D25,3)="I.B", "Standard I.A Member (at least 1)", "N/A")</f>
        <v>N/A</v>
      </c>
      <c r="C35" s="34"/>
      <c r="D35" s="83"/>
      <c r="E35" s="362"/>
      <c r="F35" s="363"/>
      <c r="H35" t="str">
        <f>IF(L16&gt;=4, "Location #4:","")</f>
        <v/>
      </c>
      <c r="I35" s="393"/>
      <c r="J35" s="393"/>
      <c r="K35" s="393"/>
      <c r="L35" s="393"/>
      <c r="N35" s="62"/>
      <c r="O35" s="22"/>
      <c r="P35" s="22"/>
      <c r="Q35" s="22"/>
      <c r="R35" s="22"/>
    </row>
    <row r="36" spans="2:21" ht="32.25" customHeight="1" x14ac:dyDescent="0.15">
      <c r="B36" s="401" t="str">
        <f>IF(LEFT(D25,3)="I.B", "Consortium Governing Body Minutes 
                         (most recent 3 meetings)", "N/A")</f>
        <v>N/A</v>
      </c>
      <c r="C36" s="402"/>
      <c r="D36" s="83"/>
      <c r="E36" s="362"/>
      <c r="F36" s="363"/>
      <c r="H36" t="str">
        <f>IF(L16&gt;=5, "Location #5:","")</f>
        <v/>
      </c>
      <c r="I36" s="393"/>
      <c r="J36" s="393"/>
      <c r="K36" s="393"/>
      <c r="L36" s="393"/>
      <c r="N36" s="62"/>
      <c r="O36" s="22"/>
      <c r="P36" s="22"/>
      <c r="Q36" s="22"/>
      <c r="R36" s="22"/>
    </row>
    <row r="37" spans="2:21" x14ac:dyDescent="0.15">
      <c r="B37" s="77" t="str">
        <f>IF(LEFT(D25,3)="I.B", "Consortium Organizational Chart", "N/A")</f>
        <v>N/A</v>
      </c>
      <c r="C37" s="34"/>
      <c r="D37" s="83"/>
      <c r="E37" s="362"/>
      <c r="F37" s="363"/>
      <c r="H37" t="str">
        <f>IF(L18&gt;=4, "Location #4:","")</f>
        <v/>
      </c>
      <c r="I37" s="393"/>
      <c r="J37" s="393"/>
      <c r="K37" s="393"/>
      <c r="L37" s="393"/>
      <c r="N37" s="62"/>
      <c r="O37" s="22"/>
      <c r="P37" s="22"/>
      <c r="Q37" s="22"/>
      <c r="R37" s="22"/>
    </row>
    <row r="38" spans="2:21" x14ac:dyDescent="0.15">
      <c r="B38" s="77" t="str">
        <f>IF(LEFT(D25,3)="I.B", "Corporate Structure Organizational Chart", "N/A")</f>
        <v>N/A</v>
      </c>
      <c r="C38" s="34"/>
      <c r="D38" s="83"/>
      <c r="E38" s="362"/>
      <c r="F38" s="363"/>
      <c r="H38" t="str">
        <f>IF(L18&gt;=5, "Location #5:","")</f>
        <v/>
      </c>
      <c r="I38" s="393"/>
      <c r="J38" s="393"/>
      <c r="K38" s="393"/>
      <c r="L38" s="393"/>
      <c r="N38" s="62"/>
      <c r="O38" s="22"/>
      <c r="P38" s="22"/>
      <c r="Q38" s="22"/>
      <c r="R38" s="22"/>
    </row>
    <row r="39" spans="2:21" ht="25.25" customHeight="1" x14ac:dyDescent="0.15">
      <c r="B39" s="394" t="s">
        <v>260</v>
      </c>
      <c r="C39" s="395"/>
      <c r="D39" s="395"/>
      <c r="E39" s="395"/>
      <c r="F39" s="396"/>
      <c r="H39" t="str">
        <f>IF(L28&gt;=12, "Location #12:","")</f>
        <v/>
      </c>
      <c r="I39" s="397"/>
      <c r="J39" s="397"/>
      <c r="K39" s="397"/>
      <c r="L39" s="397"/>
      <c r="N39" s="62"/>
      <c r="O39" s="22"/>
      <c r="P39" s="22"/>
      <c r="Q39" s="22"/>
      <c r="R39" s="22"/>
    </row>
    <row r="40" spans="2:21" ht="23.25" customHeight="1" x14ac:dyDescent="0.15">
      <c r="B40" s="76" t="s">
        <v>277</v>
      </c>
      <c r="C40" s="54"/>
      <c r="D40" s="83"/>
      <c r="E40" s="362"/>
      <c r="F40" s="363"/>
      <c r="N40" s="24"/>
    </row>
    <row r="41" spans="2:21" x14ac:dyDescent="0.15">
      <c r="B41" s="128" t="s">
        <v>351</v>
      </c>
      <c r="C41" s="129"/>
      <c r="D41" s="130"/>
      <c r="E41" s="130"/>
      <c r="F41" s="131"/>
      <c r="N41" s="24"/>
    </row>
    <row r="42" spans="2:21" x14ac:dyDescent="0.15">
      <c r="B42" s="35" t="s">
        <v>126</v>
      </c>
      <c r="C42" s="37"/>
      <c r="D42" s="83"/>
      <c r="E42" s="362"/>
      <c r="F42" s="363"/>
      <c r="N42" s="24"/>
    </row>
    <row r="43" spans="2:21" x14ac:dyDescent="0.15">
      <c r="B43" s="36" t="s">
        <v>340</v>
      </c>
      <c r="C43" s="37"/>
      <c r="D43" s="83"/>
      <c r="E43" s="362"/>
      <c r="F43" s="363"/>
      <c r="N43" s="24"/>
    </row>
    <row r="44" spans="2:21" x14ac:dyDescent="0.15">
      <c r="B44" s="35" t="s">
        <v>103</v>
      </c>
      <c r="C44" s="37" t="s">
        <v>104</v>
      </c>
      <c r="D44" s="83" t="s">
        <v>100</v>
      </c>
      <c r="E44" s="84" t="s">
        <v>100</v>
      </c>
      <c r="F44" s="114"/>
      <c r="N44" s="24"/>
    </row>
    <row r="45" spans="2:21" x14ac:dyDescent="0.15">
      <c r="B45" s="36" t="s">
        <v>105</v>
      </c>
      <c r="C45" s="37" t="s">
        <v>104</v>
      </c>
      <c r="D45" s="83" t="s">
        <v>100</v>
      </c>
      <c r="E45" s="84" t="s">
        <v>100</v>
      </c>
      <c r="F45" s="114"/>
      <c r="N45" s="24"/>
    </row>
    <row r="46" spans="2:21" x14ac:dyDescent="0.15">
      <c r="B46" s="36" t="s">
        <v>259</v>
      </c>
      <c r="C46" s="124" t="s">
        <v>104</v>
      </c>
      <c r="D46" s="83" t="s">
        <v>100</v>
      </c>
      <c r="E46" s="84" t="s">
        <v>100</v>
      </c>
      <c r="F46" s="114"/>
      <c r="N46" s="24"/>
    </row>
    <row r="47" spans="2:21" x14ac:dyDescent="0.15">
      <c r="B47" s="35" t="s">
        <v>335</v>
      </c>
      <c r="C47" s="37" t="s">
        <v>104</v>
      </c>
      <c r="D47" s="83" t="s">
        <v>100</v>
      </c>
      <c r="E47" s="362"/>
      <c r="F47" s="363"/>
      <c r="N47" s="24"/>
    </row>
    <row r="48" spans="2:21" x14ac:dyDescent="0.15">
      <c r="B48" s="77" t="s">
        <v>336</v>
      </c>
      <c r="C48" s="37"/>
      <c r="D48" s="83"/>
      <c r="E48" s="362"/>
      <c r="F48" s="363"/>
      <c r="N48" s="24"/>
    </row>
    <row r="49" spans="1:23" x14ac:dyDescent="0.15">
      <c r="B49" s="77" t="s">
        <v>338</v>
      </c>
      <c r="C49" s="37"/>
      <c r="D49" s="83"/>
      <c r="E49" s="362"/>
      <c r="F49" s="363"/>
      <c r="N49" s="24"/>
    </row>
    <row r="50" spans="1:23" x14ac:dyDescent="0.15">
      <c r="B50" s="119" t="s">
        <v>352</v>
      </c>
      <c r="C50" s="37"/>
      <c r="D50" s="83"/>
      <c r="E50" s="362"/>
      <c r="F50" s="363"/>
      <c r="N50" s="24"/>
    </row>
    <row r="51" spans="1:23" x14ac:dyDescent="0.15">
      <c r="B51" s="77" t="s">
        <v>337</v>
      </c>
      <c r="C51" s="37"/>
      <c r="D51" s="83"/>
      <c r="E51" s="362"/>
      <c r="F51" s="363"/>
      <c r="N51" s="24"/>
    </row>
    <row r="52" spans="1:23" x14ac:dyDescent="0.15">
      <c r="B52" s="77" t="s">
        <v>339</v>
      </c>
      <c r="C52" s="37"/>
      <c r="D52" s="83"/>
      <c r="E52" s="362"/>
      <c r="F52" s="363"/>
      <c r="N52" s="24"/>
    </row>
    <row r="53" spans="1:23" x14ac:dyDescent="0.15">
      <c r="B53" s="79" t="s">
        <v>342</v>
      </c>
      <c r="C53" s="37"/>
      <c r="D53" s="83"/>
      <c r="E53" s="362"/>
      <c r="F53" s="363"/>
      <c r="N53" s="24"/>
    </row>
    <row r="54" spans="1:23" x14ac:dyDescent="0.15">
      <c r="B54" s="78" t="s">
        <v>341</v>
      </c>
      <c r="C54" s="37"/>
      <c r="D54" s="83"/>
      <c r="E54" s="362"/>
      <c r="F54" s="363"/>
      <c r="N54" s="24"/>
    </row>
    <row r="55" spans="1:23" x14ac:dyDescent="0.15">
      <c r="B55" s="80" t="s">
        <v>343</v>
      </c>
      <c r="C55" s="124"/>
      <c r="D55" s="83"/>
      <c r="E55" s="362"/>
      <c r="F55" s="363"/>
      <c r="N55" s="24"/>
    </row>
    <row r="56" spans="1:23" ht="14.25" customHeight="1" x14ac:dyDescent="0.15">
      <c r="K56" s="7"/>
      <c r="L56" s="7"/>
      <c r="M56" s="7"/>
      <c r="N56" s="7"/>
    </row>
    <row r="57" spans="1:23" ht="42" customHeight="1" x14ac:dyDescent="0.15">
      <c r="B57" s="9" t="s">
        <v>106</v>
      </c>
      <c r="D57" s="398"/>
      <c r="E57" s="399"/>
      <c r="F57" s="400"/>
    </row>
    <row r="58" spans="1:23" s="122" customFormat="1" ht="17.25" customHeight="1" x14ac:dyDescent="0.15">
      <c r="A58"/>
      <c r="B58"/>
      <c r="C58"/>
      <c r="D58"/>
      <c r="E58"/>
      <c r="F58"/>
      <c r="H58"/>
      <c r="I58"/>
      <c r="J58"/>
      <c r="K58"/>
      <c r="L58"/>
      <c r="M58"/>
      <c r="N58"/>
    </row>
    <row r="59" spans="1:23" ht="16" x14ac:dyDescent="0.15">
      <c r="A59" s="122"/>
      <c r="B59" t="s">
        <v>107</v>
      </c>
      <c r="C59" s="25"/>
      <c r="D59" s="407" t="s">
        <v>212</v>
      </c>
      <c r="E59" s="408"/>
      <c r="F59" s="409"/>
      <c r="I59" s="19" t="s">
        <v>212</v>
      </c>
      <c r="J59" s="19" t="s">
        <v>353</v>
      </c>
      <c r="K59" s="19" t="s">
        <v>257</v>
      </c>
      <c r="L59" s="19" t="s">
        <v>119</v>
      </c>
      <c r="M59" s="19" t="s">
        <v>354</v>
      </c>
      <c r="N59" s="19" t="s">
        <v>372</v>
      </c>
      <c r="O59" s="19" t="s">
        <v>355</v>
      </c>
      <c r="P59" s="19" t="s">
        <v>401</v>
      </c>
      <c r="Q59" s="19" t="s">
        <v>202</v>
      </c>
      <c r="R59" s="19" t="s">
        <v>120</v>
      </c>
      <c r="S59" s="19" t="s">
        <v>258</v>
      </c>
      <c r="T59" s="19" t="s">
        <v>20</v>
      </c>
      <c r="U59" s="19" t="s">
        <v>356</v>
      </c>
      <c r="V59" s="19"/>
      <c r="W59" s="41"/>
    </row>
    <row r="60" spans="1:23" x14ac:dyDescent="0.15">
      <c r="A60" s="122"/>
    </row>
    <row r="61" spans="1:23" x14ac:dyDescent="0.15">
      <c r="A61" s="122"/>
      <c r="B61" s="42" t="s">
        <v>373</v>
      </c>
      <c r="C61" s="43"/>
      <c r="D61" s="43"/>
      <c r="E61" s="43"/>
      <c r="F61" s="44"/>
    </row>
    <row r="62" spans="1:23" s="7" customFormat="1" ht="27" customHeight="1" x14ac:dyDescent="0.15">
      <c r="B62" s="47"/>
      <c r="C62" s="46"/>
      <c r="D62" s="48" t="s">
        <v>374</v>
      </c>
      <c r="E62" s="67"/>
      <c r="F62" s="68"/>
      <c r="H62"/>
      <c r="I62" s="19"/>
      <c r="J62" s="19"/>
      <c r="K62" s="19"/>
      <c r="L62" s="19"/>
      <c r="M62" s="19"/>
      <c r="N62"/>
    </row>
    <row r="63" spans="1:23" x14ac:dyDescent="0.15">
      <c r="B63" s="405"/>
      <c r="C63" s="406"/>
      <c r="D63" s="405"/>
      <c r="E63" s="405"/>
      <c r="F63" s="406"/>
      <c r="I63" s="19" t="s">
        <v>98</v>
      </c>
      <c r="J63" s="19" t="s">
        <v>99</v>
      </c>
      <c r="K63" s="19" t="s">
        <v>334</v>
      </c>
      <c r="L63" s="19" t="s">
        <v>100</v>
      </c>
      <c r="M63" s="24"/>
    </row>
    <row r="64" spans="1:23" ht="16" x14ac:dyDescent="0.2">
      <c r="B64" s="20" t="s">
        <v>108</v>
      </c>
      <c r="F64" s="26">
        <f>C5</f>
        <v>0</v>
      </c>
    </row>
    <row r="65" spans="2:6" ht="15" customHeight="1" x14ac:dyDescent="0.15">
      <c r="B65" s="403" t="s">
        <v>109</v>
      </c>
      <c r="C65" s="404"/>
      <c r="D65" s="81" t="s">
        <v>98</v>
      </c>
      <c r="E65" s="21" t="str">
        <f t="shared" ref="E65:E70" si="0">IF(OR($D65="No",$D65="Pending"),"as of","")</f>
        <v/>
      </c>
      <c r="F65" s="2"/>
    </row>
    <row r="66" spans="2:6" ht="15" customHeight="1" x14ac:dyDescent="0.15">
      <c r="B66" s="403" t="s">
        <v>329</v>
      </c>
      <c r="C66" s="404"/>
      <c r="D66" s="81" t="s">
        <v>98</v>
      </c>
      <c r="E66" s="21" t="str">
        <f t="shared" si="0"/>
        <v/>
      </c>
      <c r="F66" s="2"/>
    </row>
    <row r="67" spans="2:6" ht="15" customHeight="1" x14ac:dyDescent="0.15">
      <c r="B67" s="403" t="s">
        <v>330</v>
      </c>
      <c r="C67" s="404"/>
      <c r="D67" s="81" t="s">
        <v>98</v>
      </c>
      <c r="E67" s="21" t="str">
        <f t="shared" si="0"/>
        <v/>
      </c>
      <c r="F67" s="2"/>
    </row>
    <row r="68" spans="2:6" ht="15" customHeight="1" x14ac:dyDescent="0.15">
      <c r="B68" s="403" t="s">
        <v>331</v>
      </c>
      <c r="C68" s="404"/>
      <c r="D68" s="81" t="s">
        <v>100</v>
      </c>
      <c r="E68" s="21" t="str">
        <f t="shared" si="0"/>
        <v/>
      </c>
      <c r="F68" s="2"/>
    </row>
    <row r="69" spans="2:6" ht="15" customHeight="1" x14ac:dyDescent="0.15">
      <c r="B69" s="403" t="s">
        <v>332</v>
      </c>
      <c r="C69" s="404"/>
      <c r="D69" s="81" t="s">
        <v>100</v>
      </c>
      <c r="E69" s="21" t="str">
        <f t="shared" si="0"/>
        <v/>
      </c>
      <c r="F69" s="2"/>
    </row>
    <row r="70" spans="2:6" ht="15" customHeight="1" x14ac:dyDescent="0.15">
      <c r="B70" s="403" t="s">
        <v>333</v>
      </c>
      <c r="C70" s="404"/>
      <c r="D70" s="81" t="s">
        <v>100</v>
      </c>
      <c r="E70" s="21" t="str">
        <f t="shared" si="0"/>
        <v/>
      </c>
      <c r="F70" s="2"/>
    </row>
    <row r="71" spans="2:6" x14ac:dyDescent="0.15">
      <c r="B71" s="27"/>
    </row>
    <row r="73" spans="2:6" ht="66.75" customHeight="1" x14ac:dyDescent="0.15">
      <c r="B73" s="367"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above identified as Resubmit in the Answer/Evidence Provided column are required to be addressed by the applicant program's LoR Application resubmission no later than the date specified in the email.","Any item(s) above that are identified with 'LSSR' in the Answer/Evidence Provided column require edits/revisions when submitting the Letter of Review Self Study Report (LSSR).")</f>
        <v>Any item(s) above that are identified with 'LSSR' in the Answer/Evidence Provided column require edits/revisions when submitting the Letter of Review Self Study Report (LSSR).</v>
      </c>
      <c r="C73" s="368"/>
      <c r="D73" s="368"/>
      <c r="E73" s="368"/>
      <c r="F73" s="369"/>
    </row>
    <row r="75" spans="2:6" x14ac:dyDescent="0.15">
      <c r="E75" t="s">
        <v>110</v>
      </c>
      <c r="F75" s="11" t="s">
        <v>111</v>
      </c>
    </row>
    <row r="76" spans="2:6" x14ac:dyDescent="0.15">
      <c r="B76" t="s">
        <v>112</v>
      </c>
      <c r="E76" s="28"/>
      <c r="F76" s="29"/>
    </row>
    <row r="77" spans="2:6" x14ac:dyDescent="0.15">
      <c r="B77" t="s">
        <v>328</v>
      </c>
      <c r="E77" s="28"/>
      <c r="F77" s="29"/>
    </row>
    <row r="79" spans="2:6" x14ac:dyDescent="0.15">
      <c r="B79" s="30" t="s">
        <v>113</v>
      </c>
      <c r="D79" s="31" t="s">
        <v>114</v>
      </c>
    </row>
    <row r="80" spans="2:6" x14ac:dyDescent="0.15">
      <c r="D80" s="32" t="s">
        <v>115</v>
      </c>
    </row>
    <row r="81" spans="4:6" x14ac:dyDescent="0.15">
      <c r="D81" s="45" t="s">
        <v>116</v>
      </c>
      <c r="E81" s="45"/>
      <c r="F81" s="45"/>
    </row>
    <row r="82" spans="4:6" x14ac:dyDescent="0.15">
      <c r="D82" s="31" t="s">
        <v>117</v>
      </c>
    </row>
  </sheetData>
  <sheetProtection algorithmName="SHA-512" hashValue="4eU8ZzsKmSEtj/GqzcSU2jk7MksIT7TJ/nsaeOzV/im7i2mautq8dA10sZPHJzYC05Uupwm4BWE8Jjxu0Jv+aA==" saltValue="SZgm/ZTNXS35BO80vdFKKg==" spinCount="100000" sheet="1" formatRows="0" selectLockedCells="1"/>
  <mergeCells count="68">
    <mergeCell ref="B36:C36"/>
    <mergeCell ref="B70:C70"/>
    <mergeCell ref="B73:F73"/>
    <mergeCell ref="B63:F63"/>
    <mergeCell ref="B65:C65"/>
    <mergeCell ref="B66:C66"/>
    <mergeCell ref="B67:C67"/>
    <mergeCell ref="B68:C68"/>
    <mergeCell ref="B69:C69"/>
    <mergeCell ref="D59:F59"/>
    <mergeCell ref="E43:F43"/>
    <mergeCell ref="E47:F47"/>
    <mergeCell ref="E48:F48"/>
    <mergeCell ref="E49:F49"/>
    <mergeCell ref="E50:F50"/>
    <mergeCell ref="E51:F51"/>
    <mergeCell ref="E52:F52"/>
    <mergeCell ref="E53:F53"/>
    <mergeCell ref="E54:F54"/>
    <mergeCell ref="E55:F55"/>
    <mergeCell ref="D57:F57"/>
    <mergeCell ref="E42:F42"/>
    <mergeCell ref="E31:F31"/>
    <mergeCell ref="I31:L31"/>
    <mergeCell ref="E34:F34"/>
    <mergeCell ref="I34:L34"/>
    <mergeCell ref="E35:F35"/>
    <mergeCell ref="I35:L35"/>
    <mergeCell ref="E36:F36"/>
    <mergeCell ref="I36:L36"/>
    <mergeCell ref="B39:F39"/>
    <mergeCell ref="I39:L39"/>
    <mergeCell ref="E40:F40"/>
    <mergeCell ref="E37:F37"/>
    <mergeCell ref="I37:L37"/>
    <mergeCell ref="E38:F38"/>
    <mergeCell ref="I38:L38"/>
    <mergeCell ref="H15:J15"/>
    <mergeCell ref="E16:F16"/>
    <mergeCell ref="H16:J16"/>
    <mergeCell ref="B17:F17"/>
    <mergeCell ref="E28:F28"/>
    <mergeCell ref="B19:C19"/>
    <mergeCell ref="B20:C20"/>
    <mergeCell ref="B21:C21"/>
    <mergeCell ref="B22:C22"/>
    <mergeCell ref="E23:F23"/>
    <mergeCell ref="B24:F24"/>
    <mergeCell ref="B25:C25"/>
    <mergeCell ref="D25:F25"/>
    <mergeCell ref="B27:C27"/>
    <mergeCell ref="E27:F27"/>
    <mergeCell ref="I27:L27"/>
    <mergeCell ref="E18:F18"/>
    <mergeCell ref="B9:B11"/>
    <mergeCell ref="C9:F9"/>
    <mergeCell ref="C10:F10"/>
    <mergeCell ref="C11:F11"/>
    <mergeCell ref="B13:F13"/>
    <mergeCell ref="B14:C14"/>
    <mergeCell ref="E14:F14"/>
    <mergeCell ref="E15:F15"/>
    <mergeCell ref="C8:D8"/>
    <mergeCell ref="C1:F2"/>
    <mergeCell ref="C3:F3"/>
    <mergeCell ref="J3:K3"/>
    <mergeCell ref="H5:I5"/>
    <mergeCell ref="C6:F7"/>
  </mergeCells>
  <conditionalFormatting sqref="B34:B38">
    <cfRule type="expression" dxfId="1478" priority="36">
      <formula>B34="N/A"</formula>
    </cfRule>
  </conditionalFormatting>
  <conditionalFormatting sqref="B13:F13">
    <cfRule type="expression" dxfId="1477" priority="183">
      <formula>$G$13="1"</formula>
    </cfRule>
  </conditionalFormatting>
  <conditionalFormatting sqref="B73:F73">
    <cfRule type="expression" dxfId="1476" priority="37">
      <formula>$G$13="1"</formula>
    </cfRule>
  </conditionalFormatting>
  <conditionalFormatting sqref="C34:C35">
    <cfRule type="expression" dxfId="1475" priority="321">
      <formula>B34="N/A"</formula>
    </cfRule>
  </conditionalFormatting>
  <conditionalFormatting sqref="C37:C38">
    <cfRule type="expression" dxfId="1474" priority="35">
      <formula>B37="N/A"</formula>
    </cfRule>
  </conditionalFormatting>
  <conditionalFormatting sqref="D33 F33">
    <cfRule type="expression" dxfId="1473" priority="126">
      <formula>AND($D33="LSSR",$E33&lt;&gt;"Please Select")</formula>
    </cfRule>
    <cfRule type="expression" dxfId="1472" priority="125">
      <formula>OR(AND($D33="N/A",$E33="Please Select"),AND($D33="N/A",$E33="N/A"))</formula>
    </cfRule>
  </conditionalFormatting>
  <conditionalFormatting sqref="D34:D36">
    <cfRule type="expression" dxfId="1471" priority="114">
      <formula>B34="N/A"</formula>
    </cfRule>
  </conditionalFormatting>
  <conditionalFormatting sqref="D37:D38">
    <cfRule type="expression" dxfId="1470" priority="3">
      <formula>B37="N/A"</formula>
    </cfRule>
  </conditionalFormatting>
  <conditionalFormatting sqref="D65:D70 F65:F70">
    <cfRule type="expression" dxfId="1469" priority="216">
      <formula>$D65="Pending"</formula>
    </cfRule>
    <cfRule type="expression" dxfId="1468" priority="215">
      <formula>$D65="No"</formula>
    </cfRule>
  </conditionalFormatting>
  <conditionalFormatting sqref="D65:D70">
    <cfRule type="expression" dxfId="1467" priority="217">
      <formula>$D65="Yes"</formula>
    </cfRule>
  </conditionalFormatting>
  <conditionalFormatting sqref="D15:F16">
    <cfRule type="expression" dxfId="1466" priority="177">
      <formula>$D15="LSSR"</formula>
    </cfRule>
    <cfRule type="expression" dxfId="1465" priority="176">
      <formula>$D15="N/A"</formula>
    </cfRule>
    <cfRule type="expression" dxfId="1464" priority="175">
      <formula>$D15="Resubmit"</formula>
    </cfRule>
    <cfRule type="expression" dxfId="1463" priority="178">
      <formula>$D15="Complete"</formula>
    </cfRule>
  </conditionalFormatting>
  <conditionalFormatting sqref="D18:F18">
    <cfRule type="expression" dxfId="1462" priority="168">
      <formula>$D18="Resubmit"</formula>
    </cfRule>
    <cfRule type="expression" dxfId="1461" priority="171">
      <formula>$D18="Complete"</formula>
    </cfRule>
    <cfRule type="expression" dxfId="1460" priority="170">
      <formula>$D18="LSSR"</formula>
    </cfRule>
    <cfRule type="expression" dxfId="1459" priority="169">
      <formula>$D18="N/A"</formula>
    </cfRule>
  </conditionalFormatting>
  <conditionalFormatting sqref="D23:F23">
    <cfRule type="expression" dxfId="1458" priority="162">
      <formula>$D23="N/A"</formula>
    </cfRule>
    <cfRule type="expression" dxfId="1457" priority="161">
      <formula>$D23="Resubmit"</formula>
    </cfRule>
    <cfRule type="expression" dxfId="1456" priority="164">
      <formula>$D23="Complete"</formula>
    </cfRule>
    <cfRule type="expression" dxfId="1455" priority="163">
      <formula>$D23="LSSR"</formula>
    </cfRule>
  </conditionalFormatting>
  <conditionalFormatting sqref="D26:F26">
    <cfRule type="expression" dxfId="1454" priority="218">
      <formula>OR(AND($D26="N/A",$E26="Please Select"),AND($D26="N/A",$E26="N/A"))</formula>
    </cfRule>
    <cfRule type="expression" dxfId="1453" priority="219">
      <formula>AND($D26="LSSR",$E26&lt;&gt;"Please Select")</formula>
    </cfRule>
    <cfRule type="expression" dxfId="1452" priority="220">
      <formula>AND($D26="Complete",$E26&lt;&gt;"Please Select")</formula>
    </cfRule>
  </conditionalFormatting>
  <conditionalFormatting sqref="D26:F36">
    <cfRule type="expression" dxfId="1451" priority="42">
      <formula>$D26="Resubmit"</formula>
    </cfRule>
  </conditionalFormatting>
  <conditionalFormatting sqref="D27:F28">
    <cfRule type="expression" dxfId="1450" priority="148">
      <formula>$D27="LSSR"</formula>
    </cfRule>
    <cfRule type="expression" dxfId="1449" priority="147">
      <formula>$D27="N/A"</formula>
    </cfRule>
    <cfRule type="expression" dxfId="1448" priority="149">
      <formula>$D27="Complete"</formula>
    </cfRule>
  </conditionalFormatting>
  <conditionalFormatting sqref="D29:F30">
    <cfRule type="expression" dxfId="1447" priority="139">
      <formula>OR(AND($D29="N/A",$E29="Please Select"),AND($D29="N/A",$E29="N/A"))</formula>
    </cfRule>
    <cfRule type="expression" dxfId="1446" priority="141">
      <formula>AND($D29="Complete",$E29&lt;&gt;"Please Select")</formula>
    </cfRule>
    <cfRule type="expression" dxfId="1445" priority="140">
      <formula>AND($D29="LSSR",$E29&lt;&gt;"Please Select")</formula>
    </cfRule>
  </conditionalFormatting>
  <conditionalFormatting sqref="D31:F31">
    <cfRule type="expression" dxfId="1444" priority="133">
      <formula>$D31="LSSR"</formula>
    </cfRule>
    <cfRule type="expression" dxfId="1443" priority="132">
      <formula>$D31="N/A"</formula>
    </cfRule>
    <cfRule type="expression" dxfId="1442" priority="134">
      <formula>$D31="Complete"</formula>
    </cfRule>
  </conditionalFormatting>
  <conditionalFormatting sqref="D32:F32">
    <cfRule type="expression" dxfId="1441" priority="129">
      <formula>AND($D32="LSSR",$E32&lt;&gt;"Please Select")</formula>
    </cfRule>
    <cfRule type="expression" dxfId="1440" priority="130">
      <formula>AND($D32="Complete",$E32&lt;&gt;"Please Select")</formula>
    </cfRule>
    <cfRule type="expression" dxfId="1439" priority="128">
      <formula>OR(AND($D32="N/A",$E32="Please Select"),AND($D32="N/A",$E32="N/A"))</formula>
    </cfRule>
  </conditionalFormatting>
  <conditionalFormatting sqref="D33:F33">
    <cfRule type="expression" dxfId="1438" priority="41">
      <formula>AND($D33="Complete",$E33&lt;&gt;"Please Select")</formula>
    </cfRule>
  </conditionalFormatting>
  <conditionalFormatting sqref="D34:F36">
    <cfRule type="expression" dxfId="1437" priority="115">
      <formula>$D34="N/A"</formula>
    </cfRule>
    <cfRule type="expression" dxfId="1436" priority="116">
      <formula>$D34="LSSR"</formula>
    </cfRule>
    <cfRule type="expression" dxfId="1435" priority="117">
      <formula>$D34="Complete"</formula>
    </cfRule>
  </conditionalFormatting>
  <conditionalFormatting sqref="D37:F38">
    <cfRule type="expression" dxfId="1434" priority="1">
      <formula>$D37="Resubmit"</formula>
    </cfRule>
    <cfRule type="expression" dxfId="1433" priority="6">
      <formula>$D37="Complete"</formula>
    </cfRule>
    <cfRule type="expression" dxfId="1432" priority="5">
      <formula>$D37="LSSR"</formula>
    </cfRule>
    <cfRule type="expression" dxfId="1431" priority="4">
      <formula>$D37="N/A"</formula>
    </cfRule>
  </conditionalFormatting>
  <conditionalFormatting sqref="D40:F40">
    <cfRule type="expression" dxfId="1430" priority="105">
      <formula>$D40="Resubmit"</formula>
    </cfRule>
    <cfRule type="expression" dxfId="1429" priority="108">
      <formula>$D40="Complete"</formula>
    </cfRule>
    <cfRule type="expression" dxfId="1428" priority="107">
      <formula>$D40="LSSR"</formula>
    </cfRule>
    <cfRule type="expression" dxfId="1427" priority="106">
      <formula>$D40="N/A"</formula>
    </cfRule>
  </conditionalFormatting>
  <conditionalFormatting sqref="D42:F43">
    <cfRule type="expression" dxfId="1426" priority="94">
      <formula>$D42="Complete"</formula>
    </cfRule>
    <cfRule type="expression" dxfId="1425" priority="93">
      <formula>$D42="LSSR"</formula>
    </cfRule>
    <cfRule type="expression" dxfId="1424" priority="92">
      <formula>$D42="N/A"</formula>
    </cfRule>
  </conditionalFormatting>
  <conditionalFormatting sqref="D42:F55">
    <cfRule type="expression" dxfId="1423" priority="38">
      <formula>$D42="Resubmit"</formula>
    </cfRule>
  </conditionalFormatting>
  <conditionalFormatting sqref="D44:F46">
    <cfRule type="expression" dxfId="1422" priority="198">
      <formula>OR(AND($D44="N/A",$E44="Please Select"),AND($D44="N/A",$E44="N/A"))</formula>
    </cfRule>
    <cfRule type="expression" dxfId="1421" priority="199">
      <formula>AND($D44="LSSR",$E44&lt;&gt;"Please Select")</formula>
    </cfRule>
    <cfRule type="expression" dxfId="1420" priority="200">
      <formula>AND($D44="Complete",$E44&lt;&gt;"Please Select")</formula>
    </cfRule>
  </conditionalFormatting>
  <conditionalFormatting sqref="D47:F52">
    <cfRule type="expression" dxfId="1419" priority="59">
      <formula>$D47="Complete"</formula>
    </cfRule>
    <cfRule type="expression" dxfId="1418" priority="58">
      <formula>$D47="LSSR"</formula>
    </cfRule>
    <cfRule type="expression" dxfId="1417" priority="57">
      <formula>$D47="N/A"</formula>
    </cfRule>
  </conditionalFormatting>
  <conditionalFormatting sqref="D53:F55">
    <cfRule type="expression" dxfId="1416" priority="46">
      <formula>$D53="Complete"</formula>
    </cfRule>
    <cfRule type="expression" dxfId="1415" priority="45">
      <formula>$D53="LSSR"</formula>
    </cfRule>
    <cfRule type="expression" dxfId="1414" priority="44">
      <formula>$D53="N/A"</formula>
    </cfRule>
  </conditionalFormatting>
  <conditionalFormatting sqref="E34:F36">
    <cfRule type="expression" dxfId="1413" priority="113">
      <formula>B34="N/A"</formula>
    </cfRule>
  </conditionalFormatting>
  <conditionalFormatting sqref="E37:F38">
    <cfRule type="expression" dxfId="1412" priority="2">
      <formula>B37="N/A"</formula>
    </cfRule>
  </conditionalFormatting>
  <conditionalFormatting sqref="F12">
    <cfRule type="expression" dxfId="1411" priority="323">
      <formula>#REF!="Not OK"</formula>
    </cfRule>
  </conditionalFormatting>
  <conditionalFormatting sqref="F65:F70">
    <cfRule type="expression" dxfId="1410" priority="320">
      <formula>(OR($D65="No",$D65="Pending"))</formula>
    </cfRule>
  </conditionalFormatting>
  <conditionalFormatting sqref="G15:G18">
    <cfRule type="expression" dxfId="1409" priority="324">
      <formula>#REF!="Not OK"</formula>
    </cfRule>
  </conditionalFormatting>
  <conditionalFormatting sqref="H19:L23">
    <cfRule type="expression" dxfId="1408" priority="188">
      <formula>AND($L$17=$L$16,$L$16&gt;=1)</formula>
    </cfRule>
  </conditionalFormatting>
  <conditionalFormatting sqref="H19:M23">
    <cfRule type="expression" dxfId="1407" priority="191">
      <formula>$L$17-$L$16&gt;=1</formula>
    </cfRule>
  </conditionalFormatting>
  <conditionalFormatting sqref="I24:M24">
    <cfRule type="expression" dxfId="1406" priority="312">
      <formula>$L$17-$L$16&gt;=9</formula>
    </cfRule>
  </conditionalFormatting>
  <conditionalFormatting sqref="I25:M25">
    <cfRule type="expression" dxfId="1405" priority="311">
      <formula>$L$17-$L$16&gt;=10</formula>
    </cfRule>
  </conditionalFormatting>
  <conditionalFormatting sqref="I27:M27">
    <cfRule type="expression" dxfId="1404" priority="310">
      <formula>$L$17-$L$16&gt;=12</formula>
    </cfRule>
  </conditionalFormatting>
  <conditionalFormatting sqref="I31:M33">
    <cfRule type="expression" dxfId="1403" priority="275">
      <formula>$L$16&gt;=2</formula>
    </cfRule>
  </conditionalFormatting>
  <conditionalFormatting sqref="I34:M34">
    <cfRule type="expression" dxfId="1402" priority="274">
      <formula>$L$16&gt;=3</formula>
    </cfRule>
  </conditionalFormatting>
  <conditionalFormatting sqref="I35:M35">
    <cfRule type="expression" dxfId="1401" priority="273">
      <formula>$L$16&gt;=4</formula>
    </cfRule>
  </conditionalFormatting>
  <conditionalFormatting sqref="I36:M36">
    <cfRule type="expression" dxfId="1400" priority="272">
      <formula>$L$16&gt;=5</formula>
    </cfRule>
  </conditionalFormatting>
  <conditionalFormatting sqref="I37:M37">
    <cfRule type="expression" dxfId="1399" priority="26">
      <formula>$L$16&gt;=4</formula>
    </cfRule>
  </conditionalFormatting>
  <conditionalFormatting sqref="I38:M38">
    <cfRule type="expression" dxfId="1398" priority="25">
      <formula>$L$16&gt;=5</formula>
    </cfRule>
  </conditionalFormatting>
  <conditionalFormatting sqref="I39:M39">
    <cfRule type="expression" dxfId="1397" priority="233">
      <formula>$L$16&gt;=12</formula>
    </cfRule>
  </conditionalFormatting>
  <conditionalFormatting sqref="L15">
    <cfRule type="expression" dxfId="1396" priority="328">
      <formula>#REF!="Yes"</formula>
    </cfRule>
  </conditionalFormatting>
  <conditionalFormatting sqref="L16">
    <cfRule type="expression" dxfId="1395" priority="326">
      <formula>L15="Yes"</formula>
    </cfRule>
  </conditionalFormatting>
  <conditionalFormatting sqref="L17">
    <cfRule type="expression" dxfId="1394" priority="327">
      <formula>AND(J14="Yes",L15&lt;&gt;"")</formula>
    </cfRule>
  </conditionalFormatting>
  <conditionalFormatting sqref="M30">
    <cfRule type="expression" dxfId="1393" priority="286">
      <formula>$L$16&gt;=1</formula>
    </cfRule>
  </conditionalFormatting>
  <conditionalFormatting sqref="N19:N23">
    <cfRule type="expression" dxfId="1392" priority="190">
      <formula>$L$17-$L$16&gt;=1</formula>
    </cfRule>
  </conditionalFormatting>
  <conditionalFormatting sqref="N24">
    <cfRule type="expression" dxfId="1391" priority="309">
      <formula>$L$17-$L$16&gt;=9</formula>
    </cfRule>
  </conditionalFormatting>
  <conditionalFormatting sqref="N25">
    <cfRule type="expression" dxfId="1390" priority="308">
      <formula>$L$17-$L$16&gt;=10</formula>
    </cfRule>
  </conditionalFormatting>
  <conditionalFormatting sqref="N27">
    <cfRule type="expression" dxfId="1389" priority="307">
      <formula>$L$17-$L$16&gt;=12</formula>
    </cfRule>
  </conditionalFormatting>
  <conditionalFormatting sqref="N30">
    <cfRule type="expression" dxfId="1388" priority="285">
      <formula>$L$16&gt;=1</formula>
    </cfRule>
  </conditionalFormatting>
  <conditionalFormatting sqref="N31:N33">
    <cfRule type="expression" dxfId="1387" priority="295">
      <formula>$L$16&gt;=2</formula>
    </cfRule>
  </conditionalFormatting>
  <conditionalFormatting sqref="N34">
    <cfRule type="expression" dxfId="1386" priority="294">
      <formula>$L$16&gt;=3</formula>
    </cfRule>
  </conditionalFormatting>
  <conditionalFormatting sqref="N35">
    <cfRule type="expression" dxfId="1385" priority="293">
      <formula>$L$16&gt;=4</formula>
    </cfRule>
  </conditionalFormatting>
  <conditionalFormatting sqref="N36">
    <cfRule type="expression" dxfId="1384" priority="292">
      <formula>$L$16&gt;=5</formula>
    </cfRule>
  </conditionalFormatting>
  <conditionalFormatting sqref="N37">
    <cfRule type="expression" dxfId="1383" priority="32">
      <formula>$L$16&gt;=4</formula>
    </cfRule>
  </conditionalFormatting>
  <conditionalFormatting sqref="N38">
    <cfRule type="expression" dxfId="1382" priority="31">
      <formula>$L$16&gt;=5</formula>
    </cfRule>
  </conditionalFormatting>
  <conditionalFormatting sqref="N39">
    <cfRule type="expression" dxfId="1381" priority="234">
      <formula>$L$16&gt;=12</formula>
    </cfRule>
  </conditionalFormatting>
  <conditionalFormatting sqref="O24">
    <cfRule type="expression" dxfId="1380" priority="261">
      <formula>$O$24="No"</formula>
    </cfRule>
  </conditionalFormatting>
  <conditionalFormatting sqref="O25">
    <cfRule type="expression" dxfId="1379" priority="260">
      <formula>$O$25="No"</formula>
    </cfRule>
  </conditionalFormatting>
  <conditionalFormatting sqref="O27">
    <cfRule type="expression" dxfId="1378" priority="259">
      <formula>$O$27="No"</formula>
    </cfRule>
  </conditionalFormatting>
  <conditionalFormatting sqref="O31:O33 P32:W32">
    <cfRule type="expression" dxfId="1377" priority="300">
      <formula>$L$16&gt;=2</formula>
    </cfRule>
    <cfRule type="expression" dxfId="1376" priority="291">
      <formula>$O$31="No"</formula>
    </cfRule>
  </conditionalFormatting>
  <conditionalFormatting sqref="O34">
    <cfRule type="expression" dxfId="1375" priority="254">
      <formula>$O$34="No"</formula>
    </cfRule>
  </conditionalFormatting>
  <conditionalFormatting sqref="O35">
    <cfRule type="expression" dxfId="1374" priority="253">
      <formula>$O$35="No"</formula>
    </cfRule>
  </conditionalFormatting>
  <conditionalFormatting sqref="O36">
    <cfRule type="expression" dxfId="1373" priority="252">
      <formula>$O$36="No"</formula>
    </cfRule>
  </conditionalFormatting>
  <conditionalFormatting sqref="O37">
    <cfRule type="expression" dxfId="1372" priority="20">
      <formula>$O$35="No"</formula>
    </cfRule>
  </conditionalFormatting>
  <conditionalFormatting sqref="O38">
    <cfRule type="expression" dxfId="1371" priority="19">
      <formula>$O$36="No"</formula>
    </cfRule>
  </conditionalFormatting>
  <conditionalFormatting sqref="O19:P23">
    <cfRule type="expression" dxfId="1370" priority="189">
      <formula>$L$17-$L$16&gt;=1</formula>
    </cfRule>
  </conditionalFormatting>
  <conditionalFormatting sqref="O24:P24">
    <cfRule type="expression" dxfId="1369" priority="303">
      <formula>$L$17-$L$16&gt;=9</formula>
    </cfRule>
  </conditionalFormatting>
  <conditionalFormatting sqref="O25:P25">
    <cfRule type="expression" dxfId="1368" priority="302">
      <formula>$L$17-$L$16&gt;=10</formula>
    </cfRule>
  </conditionalFormatting>
  <conditionalFormatting sqref="O27:P27">
    <cfRule type="expression" dxfId="1367" priority="301">
      <formula>$L$17-$L$16&gt;=12</formula>
    </cfRule>
  </conditionalFormatting>
  <conditionalFormatting sqref="O30:R30">
    <cfRule type="expression" dxfId="1366" priority="281">
      <formula>$L$16&gt;=1</formula>
    </cfRule>
  </conditionalFormatting>
  <conditionalFormatting sqref="O34:R34">
    <cfRule type="expression" dxfId="1365" priority="265">
      <formula>$L$16&gt;=3</formula>
    </cfRule>
  </conditionalFormatting>
  <conditionalFormatting sqref="O35:R35">
    <cfRule type="expression" dxfId="1364" priority="264">
      <formula>$L$16&gt;=4</formula>
    </cfRule>
  </conditionalFormatting>
  <conditionalFormatting sqref="O36:R36">
    <cfRule type="expression" dxfId="1363" priority="263">
      <formula>$L$16&gt;=5</formula>
    </cfRule>
  </conditionalFormatting>
  <conditionalFormatting sqref="O37:R37">
    <cfRule type="expression" dxfId="1362" priority="22">
      <formula>$L$16&gt;=4</formula>
    </cfRule>
  </conditionalFormatting>
  <conditionalFormatting sqref="O38:R38">
    <cfRule type="expression" dxfId="1361" priority="21">
      <formula>$L$16&gt;=5</formula>
    </cfRule>
  </conditionalFormatting>
  <conditionalFormatting sqref="O39:R39">
    <cfRule type="expression" dxfId="1360" priority="262">
      <formula>$L$16&gt;=12</formula>
    </cfRule>
    <cfRule type="expression" dxfId="1359" priority="236">
      <formula>#REF!="No"</formula>
    </cfRule>
  </conditionalFormatting>
  <conditionalFormatting sqref="P24">
    <cfRule type="expression" dxfId="1358" priority="258">
      <formula>$P$24="No"</formula>
    </cfRule>
  </conditionalFormatting>
  <conditionalFormatting sqref="P25">
    <cfRule type="expression" dxfId="1357" priority="257">
      <formula>$P$25="No"</formula>
    </cfRule>
  </conditionalFormatting>
  <conditionalFormatting sqref="P27">
    <cfRule type="expression" dxfId="1356" priority="256">
      <formula>$P$27="No"</formula>
    </cfRule>
  </conditionalFormatting>
  <conditionalFormatting sqref="P31 P33">
    <cfRule type="expression" dxfId="1355" priority="250">
      <formula>$P$31="No"</formula>
    </cfRule>
  </conditionalFormatting>
  <conditionalFormatting sqref="P34">
    <cfRule type="expression" dxfId="1354" priority="249">
      <formula>$P$34="No"</formula>
    </cfRule>
  </conditionalFormatting>
  <conditionalFormatting sqref="P35">
    <cfRule type="expression" dxfId="1353" priority="248">
      <formula>$P$35="No"</formula>
    </cfRule>
  </conditionalFormatting>
  <conditionalFormatting sqref="P36">
    <cfRule type="expression" dxfId="1352" priority="247">
      <formula>$P$36="No"</formula>
    </cfRule>
  </conditionalFormatting>
  <conditionalFormatting sqref="P37">
    <cfRule type="expression" dxfId="1351" priority="18">
      <formula>$P$35="No"</formula>
    </cfRule>
  </conditionalFormatting>
  <conditionalFormatting sqref="P38">
    <cfRule type="expression" dxfId="1350" priority="17">
      <formula>$P$36="No"</formula>
    </cfRule>
  </conditionalFormatting>
  <conditionalFormatting sqref="P31:R31 P33:R33">
    <cfRule type="expression" dxfId="1349" priority="266">
      <formula>$L$16&gt;=2</formula>
    </cfRule>
  </conditionalFormatting>
  <conditionalFormatting sqref="Q31 Q33">
    <cfRule type="expression" dxfId="1348" priority="245">
      <formula>$Q$31="No"</formula>
    </cfRule>
  </conditionalFormatting>
  <conditionalFormatting sqref="Q34">
    <cfRule type="expression" dxfId="1347" priority="244">
      <formula>$Q$34="No"</formula>
    </cfRule>
  </conditionalFormatting>
  <conditionalFormatting sqref="Q35">
    <cfRule type="expression" dxfId="1346" priority="243">
      <formula>$Q$35="No"</formula>
    </cfRule>
  </conditionalFormatting>
  <conditionalFormatting sqref="Q36">
    <cfRule type="expression" dxfId="1345" priority="242">
      <formula>$Q$36="No"</formula>
    </cfRule>
  </conditionalFormatting>
  <conditionalFormatting sqref="Q37">
    <cfRule type="expression" dxfId="1344" priority="16">
      <formula>$Q$35="No"</formula>
    </cfRule>
  </conditionalFormatting>
  <conditionalFormatting sqref="Q38">
    <cfRule type="expression" dxfId="1343" priority="15">
      <formula>$Q$36="No"</formula>
    </cfRule>
  </conditionalFormatting>
  <conditionalFormatting sqref="R31 R33">
    <cfRule type="expression" dxfId="1342" priority="240">
      <formula>$R$31="No"</formula>
    </cfRule>
  </conditionalFormatting>
  <conditionalFormatting sqref="R34">
    <cfRule type="expression" dxfId="1341" priority="239">
      <formula>$R$34="No"</formula>
    </cfRule>
  </conditionalFormatting>
  <conditionalFormatting sqref="R35">
    <cfRule type="expression" dxfId="1340" priority="238">
      <formula>$R$35="No"</formula>
    </cfRule>
  </conditionalFormatting>
  <conditionalFormatting sqref="R36">
    <cfRule type="expression" dxfId="1339" priority="237">
      <formula>$R$36="No"</formula>
    </cfRule>
  </conditionalFormatting>
  <conditionalFormatting sqref="R37">
    <cfRule type="expression" dxfId="1338" priority="14">
      <formula>$R$35="No"</formula>
    </cfRule>
  </conditionalFormatting>
  <conditionalFormatting sqref="R38">
    <cfRule type="expression" dxfId="1337" priority="13">
      <formula>$R$36="No"</formula>
    </cfRule>
  </conditionalFormatting>
  <dataValidations count="15">
    <dataValidation type="list" allowBlank="1" showInputMessage="1" showErrorMessage="1" sqref="D59" xr:uid="{00000000-0002-0000-0000-000000000000}">
      <formula1>Readers</formula1>
    </dataValidation>
    <dataValidation type="list" allowBlank="1" showInputMessage="1" showErrorMessage="1" sqref="O27 O24:O25 O31 O33:O39" xr:uid="{00000000-0002-0000-0000-000001000000}">
      <formula1>YNNA</formula1>
    </dataValidation>
    <dataValidation type="list" allowBlank="1" showInputMessage="1" showErrorMessage="1" sqref="D34:D38 D48:D52 D40 D18 P31:Q31 D31 D15:D16 D42:D43 D23 D27:D28 P33:Q39" xr:uid="{00000000-0002-0000-0000-000002000000}">
      <formula1>YNApp</formula1>
    </dataValidation>
    <dataValidation type="list" allowBlank="1" showInputMessage="1" showErrorMessage="1" sqref="M31 F8 M33:M39" xr:uid="{00000000-0002-0000-0000-000003000000}">
      <formula1>"AK, AL, AR, AZ, CA, CO, CT, DC, DE, FL, GA, HI, IA, ID, IL, IN, KS, KY, LA, MA, MD, ME, MI, MN, MO, MS, MT, NC, ND, NE, NH, NJ, NM, NV, NY, OH, OK, OR, PA, RI, SC, SD, TN, TX, UT, VA, VT, WA, WI, WV, WY"</formula1>
    </dataValidation>
    <dataValidation type="list" allowBlank="1" showInputMessage="1" showErrorMessage="1" sqref="E44" xr:uid="{00000000-0002-0000-0000-000004000000}">
      <formula1>", N/A, Same as PD, 1, 2, 3, 4, 5, 6, 7, 8, 9, 10"</formula1>
    </dataValidation>
    <dataValidation type="list" allowBlank="1" showInputMessage="1" showErrorMessage="1" sqref="E45:E46" xr:uid="{00000000-0002-0000-0000-000005000000}">
      <formula1>"N/A, 1, 2, 3, 4, 5"</formula1>
    </dataValidation>
    <dataValidation type="list" allowBlank="1" showInputMessage="1" showErrorMessage="1" sqref="R31 P24:P25 P27:P28 R33:R39" xr:uid="{00000000-0002-0000-0000-000006000000}">
      <formula1>Satellites</formula1>
    </dataValidation>
    <dataValidation type="list" allowBlank="1" showInputMessage="1" showErrorMessage="1" sqref="E29" xr:uid="{00000000-0002-0000-0000-000007000000}">
      <formula1>EASType</formula1>
    </dataValidation>
    <dataValidation type="list" allowBlank="1" showInputMessage="1" showErrorMessage="1" sqref="E30" xr:uid="{00000000-0002-0000-0000-000008000000}">
      <formula1>EASStatus</formula1>
    </dataValidation>
    <dataValidation type="list" allowBlank="1" showInputMessage="1" showErrorMessage="1" sqref="E32" xr:uid="{00000000-0002-0000-0000-000009000000}">
      <formula1>EASDegree</formula1>
    </dataValidation>
    <dataValidation type="list" allowBlank="1" showInputMessage="1" showErrorMessage="1" sqref="E26" xr:uid="{00000000-0002-0000-0000-00000A000000}">
      <formula1>EASInst</formula1>
    </dataValidation>
    <dataValidation type="list" allowBlank="1" showInputMessage="1" showErrorMessage="1" sqref="E33" xr:uid="{00000000-0002-0000-0000-00000B000000}">
      <formula1>"Please Select, N/A, 1, 2, 3, 4"</formula1>
    </dataValidation>
    <dataValidation type="list" allowBlank="1" showInputMessage="1" showErrorMessage="1" errorTitle="Invalid Entry" error="_x000a_Please select the sponsor category from the dropdown list" prompt="Please select the sponsor category for the Paramedic educational program" sqref="D25:F25" xr:uid="{00000000-0002-0000-0000-00000C000000}">
      <formula1>"~ Please Select ~, I.A.1-Postsecondary, I.A.2-Foreign, I.A.3-Hospital/Med Cntr, I.A.4-Government, I.A.4-Armed Services, I.B-Consortium-w/(I.A)College, I.B-Consortium-w/(I.A)Hospital, I.B-Consortium-w/(I.A)Govenment"</formula1>
    </dataValidation>
    <dataValidation type="list" allowBlank="1" showInputMessage="1" showErrorMessage="1" sqref="D32:D33 D29:D30 D44:D47 D26 D53:D55" xr:uid="{00000000-0002-0000-0000-00000D000000}">
      <formula1>YNNApp</formula1>
    </dataValidation>
    <dataValidation type="list" allowBlank="1" showInputMessage="1" showErrorMessage="1" sqref="D65:D70" xr:uid="{00000000-0002-0000-0000-00000E000000}">
      <formula1>EASAdmin</formula1>
    </dataValidation>
  </dataValidations>
  <hyperlinks>
    <hyperlink ref="D81:F81" r:id="rId1" display="george@coaemsp.org" xr:uid="{00000000-0004-0000-0000-000000000000}"/>
    <hyperlink ref="D62" r:id="rId2" xr:uid="{00000000-0004-0000-0000-000001000000}"/>
  </hyperlinks>
  <printOptions horizontalCentered="1"/>
  <pageMargins left="0.25" right="0.25" top="0.75" bottom="0.75" header="0.3" footer="0.3"/>
  <pageSetup scale="76" fitToHeight="0" orientation="portrait" r:id="rId3"/>
  <rowBreaks count="1" manualBreakCount="1">
    <brk id="45" max="6" man="1"/>
  </rowBreaks>
  <colBreaks count="1" manualBreakCount="1">
    <brk id="7" max="147" man="1"/>
  </colBreaks>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7"/>
    <pageSetUpPr fitToPage="1"/>
  </sheetPr>
  <dimension ref="A1:DD196"/>
  <sheetViews>
    <sheetView showGridLines="0" zoomScaleNormal="100" workbookViewId="0">
      <selection activeCell="N46" sqref="N46"/>
    </sheetView>
  </sheetViews>
  <sheetFormatPr baseColWidth="10" defaultColWidth="9.1640625" defaultRowHeight="14" x14ac:dyDescent="0.15"/>
  <cols>
    <col min="1" max="1" width="4.6640625" customWidth="1"/>
    <col min="2" max="2" width="5.83203125" customWidth="1"/>
    <col min="3" max="3" width="18.1640625" customWidth="1"/>
    <col min="4" max="4" width="12.6640625" customWidth="1"/>
    <col min="7" max="7" width="9.5" customWidth="1"/>
    <col min="9" max="10" width="9.1640625" customWidth="1"/>
    <col min="14" max="14" width="14" customWidth="1"/>
    <col min="15" max="17" width="9.1640625" style="41"/>
    <col min="18" max="18" width="9.1640625" style="19"/>
    <col min="19" max="19" width="34" style="19" customWidth="1"/>
    <col min="20" max="21" width="9.1640625" style="19"/>
    <col min="22" max="24" width="9.1640625" style="19" customWidth="1"/>
    <col min="25" max="25" width="36.1640625" style="19" customWidth="1"/>
    <col min="26" max="29" width="9.1640625" style="19" customWidth="1"/>
    <col min="30" max="30" width="36.1640625" customWidth="1"/>
    <col min="31" max="34" width="9.1640625" customWidth="1"/>
    <col min="35" max="35" width="36.1640625" customWidth="1"/>
    <col min="36" max="74" width="9.1640625" customWidth="1"/>
  </cols>
  <sheetData>
    <row r="1" spans="1:55" x14ac:dyDescent="0.15">
      <c r="A1" s="2"/>
      <c r="AD1" s="19"/>
      <c r="AE1" s="19"/>
      <c r="AF1" s="19"/>
      <c r="AG1" s="19"/>
      <c r="AH1" s="19"/>
      <c r="AI1" s="19"/>
      <c r="AJ1" s="19"/>
      <c r="AK1" s="19"/>
      <c r="AL1" s="19"/>
      <c r="AM1" s="19"/>
      <c r="AN1" s="19"/>
      <c r="AO1" s="65"/>
      <c r="AP1" s="65"/>
      <c r="AQ1" s="65"/>
      <c r="AR1" s="65"/>
      <c r="AS1" s="65"/>
      <c r="AT1" s="65"/>
      <c r="AU1" s="65"/>
      <c r="AV1" s="65"/>
      <c r="AW1" s="65"/>
      <c r="AX1" s="65"/>
      <c r="AY1" s="65"/>
      <c r="AZ1" s="65"/>
      <c r="BA1" s="65"/>
      <c r="BB1" s="65"/>
      <c r="BC1" s="65"/>
    </row>
    <row r="2" spans="1:55" ht="69.75" customHeight="1" x14ac:dyDescent="0.15">
      <c r="D2" s="342" t="s">
        <v>1</v>
      </c>
      <c r="E2" s="342"/>
      <c r="F2" s="342"/>
      <c r="G2" s="342"/>
      <c r="H2" s="342"/>
      <c r="I2" s="342"/>
      <c r="J2" s="342"/>
      <c r="K2" s="342"/>
      <c r="L2" s="342"/>
      <c r="AD2" s="19"/>
      <c r="AE2" s="19"/>
      <c r="AF2" s="19"/>
      <c r="AG2" s="19"/>
      <c r="AH2" s="19"/>
      <c r="AI2" s="19"/>
      <c r="AJ2" s="19"/>
      <c r="AK2" s="19"/>
      <c r="AL2" s="19"/>
      <c r="AM2" s="19"/>
      <c r="AN2" s="24"/>
      <c r="AO2" s="65"/>
      <c r="AP2" s="65"/>
      <c r="AQ2" s="65"/>
      <c r="AR2" s="65"/>
      <c r="AS2" s="65"/>
      <c r="AT2" s="65"/>
      <c r="AU2" s="65"/>
      <c r="AV2" s="65"/>
      <c r="AW2" s="65"/>
      <c r="AX2" s="65"/>
      <c r="AY2" s="65"/>
      <c r="AZ2" s="65"/>
      <c r="BA2" s="65"/>
      <c r="BB2" s="65"/>
      <c r="BC2" s="65"/>
    </row>
    <row r="3" spans="1:55" ht="43.5" customHeight="1" x14ac:dyDescent="0.15">
      <c r="C3" s="350" t="s">
        <v>388</v>
      </c>
      <c r="D3" s="350"/>
      <c r="E3" s="350"/>
      <c r="F3" s="350"/>
      <c r="G3" s="350"/>
      <c r="H3" s="350"/>
      <c r="I3" s="350"/>
      <c r="J3" s="350"/>
      <c r="K3" s="350"/>
      <c r="L3" s="350"/>
      <c r="M3" s="350"/>
      <c r="N3" s="350"/>
      <c r="AD3" s="19"/>
      <c r="AE3" s="19"/>
      <c r="AF3" s="19"/>
      <c r="AG3" s="19"/>
      <c r="AH3" s="19"/>
      <c r="AI3" s="19"/>
      <c r="AJ3" s="19"/>
      <c r="AK3" s="19"/>
      <c r="AL3" s="19"/>
      <c r="AM3" s="19"/>
      <c r="AN3" s="24"/>
      <c r="AO3" s="65"/>
      <c r="AP3" s="65"/>
      <c r="AQ3" s="65"/>
      <c r="AR3" s="65"/>
      <c r="AS3" s="65"/>
      <c r="AT3" s="65"/>
      <c r="AU3" s="65"/>
      <c r="AV3" s="65"/>
      <c r="AW3" s="65"/>
      <c r="AX3" s="65"/>
      <c r="AY3" s="65"/>
      <c r="AZ3" s="65"/>
      <c r="BA3" s="65"/>
      <c r="BB3" s="65"/>
      <c r="BC3" s="65"/>
    </row>
    <row r="4" spans="1:55" ht="45" x14ac:dyDescent="0.15">
      <c r="B4" s="343" t="str">
        <f>IF(H10="Seeking the CoAEMSP Letter of Review (LoR)","Preliminary Site Visit Report","Site Visit Report")</f>
        <v>Site Visit Report</v>
      </c>
      <c r="C4" s="343"/>
      <c r="D4" s="343"/>
      <c r="E4" s="343"/>
      <c r="F4" s="343"/>
      <c r="G4" s="343"/>
      <c r="H4" s="343"/>
      <c r="I4" s="343"/>
      <c r="J4" s="343"/>
      <c r="K4" s="343"/>
      <c r="L4" s="343"/>
      <c r="M4" s="343"/>
      <c r="N4" s="343"/>
      <c r="AD4" s="19"/>
      <c r="AE4" s="19"/>
      <c r="AF4" s="19"/>
      <c r="AG4" s="19"/>
      <c r="AH4" s="19"/>
      <c r="AI4" s="19"/>
      <c r="AJ4" s="19"/>
      <c r="AK4" s="19"/>
      <c r="AL4" s="19"/>
      <c r="AM4" s="19"/>
      <c r="AN4" s="24"/>
      <c r="AO4" s="65"/>
      <c r="AP4" s="65"/>
      <c r="AQ4" s="65"/>
      <c r="AR4" s="65"/>
      <c r="AS4" s="65"/>
      <c r="AT4" s="65"/>
      <c r="AU4" s="65"/>
      <c r="AV4" s="65"/>
      <c r="AW4" s="65"/>
      <c r="AX4" s="65"/>
      <c r="AY4" s="65"/>
      <c r="AZ4" s="65"/>
      <c r="BA4" s="65"/>
      <c r="BB4" s="65"/>
      <c r="BC4" s="65"/>
    </row>
    <row r="5" spans="1:55" ht="9" hidden="1" customHeight="1" x14ac:dyDescent="0.15">
      <c r="AD5" s="19"/>
      <c r="AE5" s="19"/>
      <c r="AF5" s="19"/>
      <c r="AG5" s="19"/>
      <c r="AH5" s="19"/>
      <c r="AI5" s="19"/>
      <c r="AJ5" s="19"/>
      <c r="AK5" s="19"/>
      <c r="AL5" s="19"/>
      <c r="AM5" s="19"/>
      <c r="AN5" s="24"/>
      <c r="AO5" s="65"/>
      <c r="AP5" s="65"/>
      <c r="AQ5" s="65"/>
      <c r="AR5" s="65"/>
      <c r="AS5" s="65"/>
      <c r="AT5" s="65"/>
      <c r="AU5" s="65"/>
      <c r="AV5" s="65"/>
      <c r="AW5" s="65"/>
      <c r="AX5" s="65"/>
      <c r="AY5" s="65"/>
      <c r="AZ5" s="65"/>
      <c r="BA5" s="65"/>
      <c r="BB5" s="65"/>
      <c r="BC5" s="65"/>
    </row>
    <row r="6" spans="1:55" ht="30" x14ac:dyDescent="0.15">
      <c r="B6" s="344" t="s">
        <v>457</v>
      </c>
      <c r="C6" s="344"/>
      <c r="D6" s="344"/>
      <c r="E6" s="344"/>
      <c r="F6" s="344"/>
      <c r="G6" s="344"/>
      <c r="H6" s="344"/>
      <c r="I6" s="344"/>
      <c r="J6" s="344"/>
      <c r="K6" s="344"/>
      <c r="L6" s="344"/>
      <c r="M6" s="344"/>
      <c r="N6" s="344"/>
      <c r="AD6" s="19"/>
      <c r="AE6" s="19"/>
      <c r="AF6" s="19"/>
      <c r="AG6" s="19"/>
      <c r="AH6" s="19"/>
      <c r="AI6" s="19"/>
      <c r="AJ6" s="19"/>
      <c r="AK6" s="19"/>
      <c r="AL6" s="19"/>
      <c r="AM6" s="19"/>
      <c r="AN6" s="24"/>
      <c r="AO6" s="65"/>
      <c r="AP6" s="65"/>
      <c r="AQ6" s="65"/>
      <c r="AR6" s="65"/>
      <c r="AS6" s="65"/>
      <c r="AT6" s="65"/>
      <c r="AU6" s="65"/>
      <c r="AV6" s="65"/>
      <c r="AW6" s="65"/>
      <c r="AX6" s="65"/>
      <c r="AY6" s="65"/>
      <c r="AZ6" s="65"/>
      <c r="BA6" s="65"/>
      <c r="BB6" s="65"/>
      <c r="BC6" s="65"/>
    </row>
    <row r="7" spans="1:55" ht="11.25" customHeight="1" x14ac:dyDescent="0.15">
      <c r="AD7" s="19"/>
      <c r="AE7" s="19"/>
      <c r="AF7" s="19"/>
      <c r="AG7" s="19"/>
      <c r="AH7" s="19"/>
      <c r="AI7" s="19"/>
      <c r="AJ7" s="19"/>
      <c r="AK7" s="19"/>
      <c r="AL7" s="19"/>
      <c r="AM7" s="19"/>
      <c r="AN7" s="24"/>
      <c r="AO7" s="65"/>
      <c r="AP7" s="65"/>
      <c r="AQ7" s="65"/>
      <c r="AR7" s="65"/>
      <c r="AS7" s="65"/>
      <c r="AT7" s="65"/>
      <c r="AU7" s="65"/>
      <c r="AV7" s="65"/>
      <c r="AW7" s="65"/>
      <c r="AX7" s="65"/>
      <c r="AY7" s="65"/>
      <c r="AZ7" s="65"/>
      <c r="BA7" s="65"/>
      <c r="BB7" s="65"/>
      <c r="BC7" s="65"/>
    </row>
    <row r="8" spans="1:55" s="146" customFormat="1" ht="27" customHeight="1" x14ac:dyDescent="0.15">
      <c r="B8" s="245"/>
      <c r="C8" s="235" t="s">
        <v>474</v>
      </c>
      <c r="D8" s="351" t="s">
        <v>212</v>
      </c>
      <c r="E8" s="352"/>
      <c r="F8" s="353"/>
    </row>
    <row r="9" spans="1:55" s="146" customFormat="1" x14ac:dyDescent="0.15"/>
    <row r="10" spans="1:55" ht="28" x14ac:dyDescent="0.15">
      <c r="B10" s="228"/>
      <c r="C10" s="235" t="s">
        <v>125</v>
      </c>
      <c r="D10" s="229"/>
      <c r="E10" s="195"/>
      <c r="F10" s="322" t="s">
        <v>451</v>
      </c>
      <c r="G10" s="323"/>
      <c r="H10" s="347"/>
      <c r="I10" s="348"/>
      <c r="J10" s="348"/>
      <c r="K10" s="348"/>
      <c r="L10" s="348"/>
      <c r="M10" s="349"/>
      <c r="N10" s="195"/>
      <c r="AD10" s="19"/>
      <c r="AE10" s="19"/>
      <c r="AF10" s="19"/>
      <c r="AG10" s="19"/>
      <c r="AH10" s="19"/>
      <c r="AI10" s="19"/>
      <c r="AJ10" s="19"/>
      <c r="AK10" s="19"/>
      <c r="AL10" s="19"/>
      <c r="AM10" s="19"/>
      <c r="AN10" s="24"/>
      <c r="AO10" s="65"/>
      <c r="AP10" s="65"/>
      <c r="AQ10" s="65"/>
      <c r="AR10" s="65"/>
      <c r="AS10" s="65"/>
      <c r="AT10" s="65"/>
      <c r="AU10" s="65"/>
      <c r="AV10" s="65"/>
      <c r="AW10" s="65"/>
      <c r="AX10" s="65"/>
      <c r="AY10" s="65"/>
      <c r="AZ10" s="65"/>
      <c r="BA10" s="65"/>
      <c r="BB10" s="65"/>
      <c r="BC10" s="65"/>
    </row>
    <row r="11" spans="1:55" ht="9" customHeight="1" x14ac:dyDescent="0.15">
      <c r="B11" s="195"/>
      <c r="C11" s="230"/>
      <c r="D11" s="231"/>
      <c r="E11" s="195"/>
      <c r="F11" s="195"/>
      <c r="G11" s="195"/>
      <c r="H11" s="195"/>
      <c r="I11" s="195"/>
      <c r="J11" s="195"/>
      <c r="K11" s="195"/>
      <c r="L11" s="195"/>
      <c r="M11" s="195"/>
      <c r="N11" s="195"/>
      <c r="AD11" s="19"/>
      <c r="AE11" s="19"/>
      <c r="AF11" s="19"/>
      <c r="AG11" s="19"/>
      <c r="AH11" s="19"/>
      <c r="AI11" s="19"/>
      <c r="AJ11" s="19"/>
      <c r="AK11" s="19"/>
      <c r="AL11" s="19"/>
      <c r="AM11" s="19"/>
      <c r="AN11" s="24"/>
      <c r="AO11" s="65"/>
      <c r="AP11" s="65"/>
      <c r="AQ11" s="65"/>
      <c r="AR11" s="65"/>
      <c r="AS11" s="65"/>
      <c r="AT11" s="65"/>
      <c r="AU11" s="65"/>
      <c r="AV11" s="65"/>
      <c r="AW11" s="65"/>
      <c r="AX11" s="65"/>
      <c r="AY11" s="65"/>
      <c r="AZ11" s="65"/>
      <c r="BA11" s="65"/>
      <c r="BB11" s="65"/>
      <c r="BC11" s="65"/>
    </row>
    <row r="12" spans="1:55" ht="21.75" customHeight="1" x14ac:dyDescent="0.15">
      <c r="B12" s="228"/>
      <c r="C12" s="235" t="s">
        <v>556</v>
      </c>
      <c r="D12" s="324"/>
      <c r="E12" s="325"/>
      <c r="F12" s="325"/>
      <c r="G12" s="325"/>
      <c r="H12" s="325"/>
      <c r="I12" s="325"/>
      <c r="J12" s="325"/>
      <c r="K12" s="325"/>
      <c r="L12" s="325"/>
      <c r="M12" s="326"/>
      <c r="N12" s="195"/>
      <c r="AD12" s="19"/>
      <c r="AE12" s="19"/>
      <c r="AF12" s="19"/>
      <c r="AG12" s="19"/>
      <c r="AH12" s="19"/>
      <c r="AI12" s="19"/>
      <c r="AJ12" s="19"/>
      <c r="AK12" s="19"/>
      <c r="AL12" s="19"/>
      <c r="AM12" s="19"/>
      <c r="AN12" s="24"/>
      <c r="AO12" s="65"/>
      <c r="AP12" s="65"/>
      <c r="AQ12" s="65"/>
      <c r="AR12" s="65"/>
      <c r="AS12" s="65"/>
      <c r="AT12" s="65"/>
      <c r="AU12" s="65"/>
      <c r="AV12" s="65"/>
      <c r="AW12" s="65"/>
      <c r="AX12" s="65"/>
      <c r="AY12" s="65"/>
      <c r="AZ12" s="65"/>
      <c r="BA12" s="65"/>
      <c r="BB12" s="65"/>
      <c r="BC12" s="65"/>
    </row>
    <row r="13" spans="1:55" x14ac:dyDescent="0.15">
      <c r="B13" s="195"/>
      <c r="C13" s="195"/>
      <c r="D13" s="232"/>
      <c r="E13" s="195"/>
      <c r="F13" s="195"/>
      <c r="G13" s="195"/>
      <c r="H13" s="195"/>
      <c r="I13" s="195"/>
      <c r="J13" s="195"/>
      <c r="K13" s="195"/>
      <c r="L13" s="195"/>
      <c r="M13" s="195"/>
      <c r="N13" s="195"/>
      <c r="AD13" s="19"/>
      <c r="AE13" s="19"/>
      <c r="AF13" s="19"/>
      <c r="AG13" s="19"/>
      <c r="AH13" s="19"/>
      <c r="AI13" s="19"/>
      <c r="AJ13" s="19"/>
      <c r="AK13" s="19"/>
      <c r="AL13" s="19"/>
      <c r="AM13" s="19"/>
      <c r="AN13" s="24"/>
      <c r="AO13" s="65"/>
      <c r="AP13" s="65"/>
      <c r="AQ13" s="65"/>
      <c r="AR13" s="65"/>
      <c r="AS13" s="65"/>
      <c r="AT13" s="65"/>
      <c r="AU13" s="65"/>
      <c r="AV13" s="65"/>
      <c r="AW13" s="65"/>
      <c r="AX13" s="65"/>
      <c r="AY13" s="65"/>
      <c r="AZ13" s="65"/>
      <c r="BA13" s="65"/>
      <c r="BB13" s="65"/>
      <c r="BC13" s="65"/>
    </row>
    <row r="14" spans="1:55" ht="18" x14ac:dyDescent="0.15">
      <c r="B14" s="195"/>
      <c r="C14" s="235" t="s">
        <v>118</v>
      </c>
      <c r="D14" s="324"/>
      <c r="E14" s="326"/>
      <c r="F14" s="345" t="s">
        <v>2</v>
      </c>
      <c r="G14" s="346"/>
      <c r="H14" s="233"/>
      <c r="I14" s="195"/>
      <c r="J14" s="195"/>
      <c r="K14" s="195"/>
      <c r="L14" s="195"/>
      <c r="M14" s="195"/>
      <c r="N14" s="195"/>
      <c r="AD14" s="19"/>
      <c r="AE14" s="19"/>
      <c r="AF14" s="19"/>
      <c r="AG14" s="19"/>
      <c r="AH14" s="19"/>
      <c r="AI14" s="19"/>
      <c r="AJ14" s="19"/>
      <c r="AK14" s="19"/>
      <c r="AL14" s="19"/>
      <c r="AM14" s="19"/>
      <c r="AN14" s="24"/>
      <c r="AO14" s="65"/>
      <c r="AP14" s="65"/>
      <c r="AQ14" s="65"/>
      <c r="AR14" s="65"/>
      <c r="AS14" s="65"/>
      <c r="AT14" s="65"/>
      <c r="AU14" s="65"/>
      <c r="AV14" s="65"/>
      <c r="AW14" s="65"/>
      <c r="AX14" s="65"/>
      <c r="AY14" s="65"/>
      <c r="AZ14" s="65"/>
      <c r="BA14" s="65"/>
      <c r="BB14" s="65"/>
      <c r="BC14" s="65"/>
    </row>
    <row r="15" spans="1:55" ht="6.75" customHeight="1" x14ac:dyDescent="0.15">
      <c r="B15" s="195"/>
      <c r="C15" s="195"/>
      <c r="D15" s="195"/>
      <c r="E15" s="195"/>
      <c r="F15" s="195"/>
      <c r="G15" s="195"/>
      <c r="H15" s="195"/>
      <c r="I15" s="195"/>
      <c r="J15" s="195"/>
      <c r="K15" s="195"/>
      <c r="L15" s="195"/>
      <c r="M15" s="195"/>
      <c r="N15" s="195"/>
      <c r="AD15" s="19"/>
      <c r="AE15" s="19"/>
      <c r="AF15" s="19"/>
      <c r="AG15" s="19"/>
      <c r="AH15" s="19"/>
      <c r="AI15" s="19"/>
      <c r="AJ15" s="19"/>
      <c r="AK15" s="19"/>
      <c r="AL15" s="19"/>
      <c r="AM15" s="19"/>
      <c r="AN15" s="24"/>
      <c r="AO15" s="65"/>
      <c r="AP15" s="65"/>
      <c r="AQ15" s="65"/>
      <c r="AR15" s="65"/>
      <c r="AS15" s="65"/>
      <c r="AT15" s="65"/>
      <c r="AU15" s="65"/>
      <c r="AV15" s="65"/>
      <c r="AW15" s="65"/>
      <c r="AX15" s="65"/>
      <c r="AY15" s="65"/>
      <c r="AZ15" s="65"/>
      <c r="BA15" s="65"/>
      <c r="BB15" s="65"/>
      <c r="BC15" s="65"/>
    </row>
    <row r="16" spans="1:55" ht="9.75" customHeight="1" x14ac:dyDescent="0.15">
      <c r="B16" s="195"/>
      <c r="C16" s="195"/>
      <c r="D16" s="195"/>
      <c r="E16" s="195"/>
      <c r="F16" s="195"/>
      <c r="G16" s="195"/>
      <c r="H16" s="195"/>
      <c r="I16" s="195"/>
      <c r="J16" s="195"/>
      <c r="K16" s="195"/>
      <c r="L16" s="195"/>
      <c r="M16" s="195"/>
      <c r="N16" s="195"/>
      <c r="AD16" s="19"/>
      <c r="AE16" s="19"/>
      <c r="AF16" s="19"/>
      <c r="AG16" s="19"/>
      <c r="AH16" s="19"/>
      <c r="AI16" s="19"/>
      <c r="AJ16" s="19"/>
      <c r="AK16" s="19"/>
      <c r="AL16" s="19"/>
      <c r="AM16" s="19"/>
      <c r="AN16" s="24"/>
      <c r="AO16" s="65"/>
      <c r="AP16" s="65"/>
      <c r="AQ16" s="65"/>
      <c r="AR16" s="65"/>
      <c r="AS16" s="65"/>
      <c r="AT16" s="65"/>
      <c r="AU16" s="65"/>
      <c r="AV16" s="65"/>
      <c r="AW16" s="65"/>
      <c r="AX16" s="65"/>
      <c r="AY16" s="65"/>
      <c r="AZ16" s="65"/>
      <c r="BA16" s="65"/>
      <c r="BB16" s="65"/>
      <c r="BC16" s="65"/>
    </row>
    <row r="17" spans="2:108" ht="18" x14ac:dyDescent="0.15">
      <c r="B17" s="195"/>
      <c r="C17" s="195"/>
      <c r="D17" s="195"/>
      <c r="E17" s="195"/>
      <c r="F17" s="322" t="s">
        <v>455</v>
      </c>
      <c r="G17" s="323"/>
      <c r="H17" s="328"/>
      <c r="I17" s="329"/>
      <c r="J17" s="330"/>
      <c r="K17" s="234"/>
      <c r="L17" s="195"/>
      <c r="M17" s="195"/>
      <c r="N17" s="195"/>
      <c r="P17" s="327" t="s">
        <v>905</v>
      </c>
      <c r="Q17" s="327"/>
      <c r="AD17" s="19"/>
      <c r="AE17" s="19"/>
      <c r="AF17" s="19"/>
      <c r="AG17" s="19"/>
      <c r="AH17" s="19"/>
      <c r="AI17" s="19"/>
      <c r="AJ17" s="19"/>
      <c r="AK17" s="19"/>
      <c r="AL17" s="19"/>
      <c r="AM17" s="19"/>
      <c r="AN17" s="24"/>
      <c r="AO17" s="65"/>
      <c r="AP17" s="65"/>
      <c r="AQ17" s="65"/>
      <c r="AR17" s="65"/>
      <c r="AS17" s="65"/>
      <c r="AT17" s="65"/>
      <c r="AU17" s="65"/>
      <c r="AV17" s="65"/>
      <c r="AW17" s="65"/>
      <c r="AX17" s="65"/>
      <c r="AY17" s="65"/>
      <c r="AZ17" s="65"/>
      <c r="BA17" s="65"/>
      <c r="BB17" s="65"/>
      <c r="BC17" s="65"/>
    </row>
    <row r="18" spans="2:108" x14ac:dyDescent="0.15">
      <c r="B18" s="195"/>
      <c r="C18" s="195"/>
      <c r="D18" s="195"/>
      <c r="E18" s="195"/>
      <c r="F18" s="195"/>
      <c r="G18" s="195"/>
      <c r="H18" s="195"/>
      <c r="I18" s="195"/>
      <c r="J18" s="195"/>
      <c r="K18" s="195"/>
      <c r="L18" s="195"/>
      <c r="M18" s="195"/>
      <c r="N18" s="195"/>
      <c r="P18" s="327"/>
      <c r="Q18" s="327"/>
      <c r="AD18" s="19"/>
      <c r="AE18" s="19"/>
      <c r="AF18" s="19"/>
      <c r="AG18" s="19"/>
      <c r="AH18" s="19"/>
      <c r="AI18" s="19"/>
      <c r="AJ18" s="19"/>
      <c r="AK18" s="19"/>
      <c r="AL18" s="19"/>
      <c r="AM18" s="19"/>
      <c r="AN18" s="24"/>
      <c r="AO18" s="65"/>
      <c r="AP18" s="65"/>
      <c r="AQ18" s="65"/>
      <c r="AR18" s="65"/>
      <c r="AS18" s="65"/>
      <c r="AT18" s="65"/>
      <c r="AU18" s="65"/>
      <c r="AV18" s="65"/>
      <c r="AW18" s="65"/>
      <c r="AX18" s="65"/>
      <c r="AY18" s="65"/>
      <c r="AZ18" s="65"/>
      <c r="BA18" s="65"/>
      <c r="BB18" s="65"/>
      <c r="BC18" s="65"/>
    </row>
    <row r="19" spans="2:108" ht="18" x14ac:dyDescent="0.15">
      <c r="B19" s="231"/>
      <c r="C19" s="231"/>
      <c r="D19" s="322" t="str">
        <f>IF(H10="Seeking the CoAEMSP Letter of Review (LoR)","Are students currently enrolled:","")</f>
        <v/>
      </c>
      <c r="E19" s="322"/>
      <c r="F19" s="322"/>
      <c r="G19" s="322"/>
      <c r="H19" s="340" t="s">
        <v>212</v>
      </c>
      <c r="I19" s="340"/>
      <c r="J19" s="340"/>
      <c r="K19" s="195"/>
      <c r="L19" s="195"/>
      <c r="M19" s="195"/>
      <c r="N19" s="195"/>
      <c r="P19" s="327"/>
      <c r="Q19" s="327"/>
      <c r="AD19" s="19"/>
      <c r="AE19" s="19"/>
      <c r="AF19" s="19"/>
      <c r="AG19" s="19"/>
      <c r="AH19" s="19"/>
      <c r="AI19" s="19"/>
      <c r="AJ19" s="19"/>
      <c r="AK19" s="19"/>
      <c r="AL19" s="19"/>
      <c r="AM19" s="19"/>
      <c r="AN19" s="24"/>
      <c r="AO19" s="65"/>
      <c r="AP19" s="65"/>
      <c r="AQ19" s="65"/>
      <c r="AR19" s="65"/>
      <c r="AS19" s="65"/>
      <c r="AT19" s="65"/>
      <c r="AU19" s="65"/>
      <c r="AV19" s="65"/>
      <c r="AW19" s="65"/>
      <c r="AX19" s="65"/>
      <c r="AY19" s="65"/>
      <c r="AZ19" s="65"/>
      <c r="BA19" s="65"/>
      <c r="BB19" s="65"/>
      <c r="BC19" s="65"/>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row>
    <row r="20" spans="2:108" ht="23.25" customHeight="1" x14ac:dyDescent="0.15">
      <c r="B20" s="195"/>
      <c r="C20" s="195" t="s">
        <v>3</v>
      </c>
      <c r="D20" s="195"/>
      <c r="E20" s="195"/>
      <c r="F20" s="195"/>
      <c r="G20" s="195"/>
      <c r="H20" s="195"/>
      <c r="I20" s="195"/>
      <c r="J20" s="195"/>
      <c r="K20" s="195"/>
      <c r="L20" s="195"/>
      <c r="M20" s="195"/>
      <c r="N20" s="195"/>
      <c r="AD20" s="19"/>
      <c r="AE20" s="19"/>
      <c r="AF20" s="19"/>
      <c r="AG20" s="19"/>
      <c r="AH20" s="19"/>
      <c r="AI20" s="19"/>
      <c r="AJ20" s="19"/>
      <c r="AK20" s="19"/>
      <c r="AL20" s="19"/>
      <c r="AM20" s="19"/>
      <c r="AN20" s="24"/>
      <c r="AO20" s="65"/>
      <c r="AP20" s="65"/>
      <c r="AQ20" s="65"/>
      <c r="AR20" s="65"/>
      <c r="AS20" s="65"/>
      <c r="AT20" s="65"/>
      <c r="AU20" s="65"/>
      <c r="AV20" s="65"/>
      <c r="AW20" s="65"/>
      <c r="AX20" s="65"/>
      <c r="AY20" s="65"/>
      <c r="AZ20" s="65"/>
      <c r="BA20" s="65"/>
      <c r="BB20" s="65"/>
      <c r="BC20" s="65"/>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row>
    <row r="21" spans="2:108" ht="18" x14ac:dyDescent="0.15">
      <c r="B21" s="195"/>
      <c r="C21" s="237"/>
      <c r="D21" s="195"/>
      <c r="E21" s="322" t="s">
        <v>617</v>
      </c>
      <c r="F21" s="322"/>
      <c r="G21" s="323"/>
      <c r="H21" s="324"/>
      <c r="I21" s="325"/>
      <c r="J21" s="325"/>
      <c r="K21" s="325"/>
      <c r="L21" s="325"/>
      <c r="M21" s="326"/>
      <c r="N21" s="195"/>
      <c r="AD21" s="19"/>
      <c r="AE21" s="19"/>
      <c r="AF21" s="19"/>
      <c r="AG21" s="19"/>
      <c r="AH21" s="19"/>
      <c r="AI21" s="19"/>
      <c r="AJ21" s="19"/>
      <c r="AK21" s="19"/>
      <c r="AL21" s="19"/>
      <c r="AM21" s="19"/>
      <c r="AN21" s="24"/>
      <c r="AO21" s="65"/>
      <c r="AP21" s="65"/>
      <c r="AQ21" s="65"/>
      <c r="AR21" s="65"/>
      <c r="AS21" s="65"/>
      <c r="AT21" s="65"/>
      <c r="AU21" s="65"/>
      <c r="AV21" s="65"/>
      <c r="AW21" s="65"/>
      <c r="AX21" s="65"/>
      <c r="AY21" s="65"/>
      <c r="AZ21" s="65"/>
      <c r="BA21" s="65"/>
      <c r="BB21" s="65"/>
      <c r="BC21" s="65"/>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row>
    <row r="22" spans="2:108" x14ac:dyDescent="0.15">
      <c r="B22" s="231"/>
      <c r="C22" s="231"/>
      <c r="D22" s="231"/>
      <c r="E22" s="195"/>
      <c r="F22" s="236"/>
      <c r="G22" s="236"/>
      <c r="H22" s="195"/>
      <c r="I22" s="195"/>
      <c r="J22" s="195"/>
      <c r="K22" s="195"/>
      <c r="L22" s="195"/>
      <c r="M22" s="195"/>
      <c r="N22" s="195"/>
      <c r="AD22" s="19"/>
      <c r="AE22" s="19"/>
      <c r="AF22" s="19"/>
      <c r="AG22" s="19"/>
      <c r="AH22" s="19"/>
      <c r="AI22" s="19"/>
      <c r="AJ22" s="19"/>
      <c r="AK22" s="19"/>
      <c r="AL22" s="19"/>
      <c r="AM22" s="19"/>
      <c r="AN22" s="24"/>
      <c r="AO22" s="65"/>
      <c r="AP22" s="65"/>
      <c r="AQ22" s="65"/>
      <c r="AR22" s="65"/>
      <c r="AS22" s="65"/>
      <c r="AT22" s="65"/>
      <c r="AU22" s="65"/>
      <c r="AV22" s="65"/>
      <c r="AW22" s="65"/>
      <c r="AX22" s="65"/>
      <c r="AY22" s="65"/>
      <c r="AZ22" s="65"/>
      <c r="BA22" s="65"/>
      <c r="BB22" s="65"/>
      <c r="BC22" s="65"/>
    </row>
    <row r="23" spans="2:108" ht="18" x14ac:dyDescent="0.15">
      <c r="B23" s="231"/>
      <c r="C23" s="231"/>
      <c r="D23" s="231"/>
      <c r="E23" s="322" t="s">
        <v>557</v>
      </c>
      <c r="F23" s="322"/>
      <c r="G23" s="323"/>
      <c r="H23" s="324"/>
      <c r="I23" s="325"/>
      <c r="J23" s="325"/>
      <c r="K23" s="325"/>
      <c r="L23" s="325"/>
      <c r="M23" s="326"/>
      <c r="N23" s="195" t="str">
        <f>IF(B4="Preliminary Site Visit Report","(if applicable)","")</f>
        <v/>
      </c>
      <c r="AD23" s="19"/>
      <c r="AE23" s="19"/>
      <c r="AF23" s="19"/>
      <c r="AG23" s="19"/>
      <c r="AH23" s="19"/>
      <c r="AI23" s="19"/>
      <c r="AJ23" s="19"/>
      <c r="AK23" s="19"/>
      <c r="AL23" s="19"/>
      <c r="AM23" s="19"/>
      <c r="AN23" s="24"/>
      <c r="AO23" s="65"/>
      <c r="AP23" s="65"/>
      <c r="AQ23" s="65"/>
      <c r="AR23" s="65"/>
      <c r="AS23" s="65"/>
      <c r="AT23" s="65"/>
      <c r="AU23" s="65"/>
      <c r="AV23" s="65"/>
      <c r="AW23" s="65"/>
      <c r="AX23" s="65"/>
      <c r="AY23" s="65"/>
      <c r="AZ23" s="65"/>
      <c r="BA23" s="65"/>
      <c r="BB23" s="65"/>
      <c r="BC23" s="65"/>
    </row>
    <row r="24" spans="2:108" x14ac:dyDescent="0.15">
      <c r="B24" s="195"/>
      <c r="C24" s="195"/>
      <c r="D24" s="195"/>
      <c r="E24" s="195"/>
      <c r="F24" s="236"/>
      <c r="G24" s="236"/>
      <c r="H24" s="195"/>
      <c r="I24" s="195"/>
      <c r="J24" s="195"/>
      <c r="K24" s="195"/>
      <c r="L24" s="195"/>
      <c r="M24" s="195"/>
      <c r="N24" s="195"/>
      <c r="AD24" s="19"/>
      <c r="AE24" s="19"/>
      <c r="AF24" s="19"/>
      <c r="AG24" s="19"/>
      <c r="AH24" s="19"/>
      <c r="AI24" s="19"/>
      <c r="AJ24" s="19"/>
      <c r="AK24" s="19"/>
      <c r="AL24" s="19"/>
      <c r="AM24" s="19"/>
      <c r="AN24" s="24"/>
      <c r="AO24" s="65"/>
      <c r="AP24" s="65"/>
      <c r="AQ24" s="65"/>
      <c r="AR24" s="65"/>
      <c r="AS24" s="65"/>
      <c r="AT24" s="65"/>
      <c r="AU24" s="65"/>
      <c r="AV24" s="65"/>
      <c r="AW24" s="65"/>
      <c r="AX24" s="65"/>
      <c r="AY24" s="65"/>
      <c r="AZ24" s="65"/>
      <c r="BA24" s="65"/>
      <c r="BB24" s="65"/>
      <c r="BC24" s="65"/>
    </row>
    <row r="25" spans="2:108" ht="18" x14ac:dyDescent="0.15">
      <c r="B25" s="231"/>
      <c r="C25" s="231"/>
      <c r="D25" s="231"/>
      <c r="E25" s="322" t="s">
        <v>557</v>
      </c>
      <c r="F25" s="322"/>
      <c r="G25" s="323"/>
      <c r="H25" s="324"/>
      <c r="I25" s="325"/>
      <c r="J25" s="325"/>
      <c r="K25" s="325"/>
      <c r="L25" s="325"/>
      <c r="M25" s="326"/>
      <c r="N25" s="195"/>
      <c r="AD25" s="19"/>
      <c r="AE25" s="19"/>
      <c r="AF25" s="19"/>
      <c r="AG25" s="19"/>
      <c r="AH25" s="19"/>
      <c r="AI25" s="19"/>
      <c r="AJ25" s="19"/>
      <c r="AK25" s="19"/>
      <c r="AL25" s="19"/>
      <c r="AM25" s="19"/>
      <c r="AN25" s="24"/>
      <c r="AO25" s="65"/>
      <c r="AP25" s="65"/>
      <c r="AQ25" s="65"/>
      <c r="AR25" s="65"/>
      <c r="AS25" s="65"/>
      <c r="AT25" s="65"/>
      <c r="AU25" s="65"/>
      <c r="AV25" s="65"/>
      <c r="AW25" s="65"/>
      <c r="AX25" s="65"/>
      <c r="AY25" s="65"/>
      <c r="AZ25" s="65"/>
      <c r="BA25" s="65"/>
      <c r="BB25" s="65"/>
      <c r="BC25" s="65"/>
    </row>
    <row r="26" spans="2:108" x14ac:dyDescent="0.15">
      <c r="B26" s="195"/>
      <c r="C26" s="195"/>
      <c r="D26" s="195"/>
      <c r="E26" s="195"/>
      <c r="F26" s="195"/>
      <c r="G26" s="195"/>
      <c r="H26" s="195"/>
      <c r="I26" s="195"/>
      <c r="J26" s="195"/>
      <c r="K26" s="195"/>
      <c r="L26" s="195"/>
      <c r="M26" s="195"/>
      <c r="N26" s="195"/>
      <c r="AD26" s="19"/>
      <c r="AE26" s="19"/>
      <c r="AF26" s="19"/>
      <c r="AG26" s="19"/>
      <c r="AH26" s="19"/>
      <c r="AI26" s="19"/>
      <c r="AJ26" s="19"/>
      <c r="AK26" s="19"/>
      <c r="AL26" s="19"/>
      <c r="AM26" s="19"/>
      <c r="AN26" s="24"/>
      <c r="AO26" s="65"/>
      <c r="AP26" s="65"/>
      <c r="AQ26" s="65"/>
      <c r="AR26" s="65"/>
      <c r="AS26" s="65"/>
      <c r="AT26" s="65"/>
      <c r="AU26" s="65"/>
      <c r="AV26" s="65"/>
      <c r="AW26" s="65"/>
      <c r="AX26" s="65"/>
      <c r="AY26" s="65"/>
      <c r="AZ26" s="65"/>
      <c r="BA26" s="65"/>
      <c r="BB26" s="65"/>
      <c r="BC26" s="65"/>
    </row>
    <row r="27" spans="2:108" ht="18" x14ac:dyDescent="0.15">
      <c r="B27" s="231"/>
      <c r="C27" s="231"/>
      <c r="D27" s="231"/>
      <c r="E27" s="322" t="s">
        <v>557</v>
      </c>
      <c r="F27" s="322"/>
      <c r="G27" s="323"/>
      <c r="H27" s="324"/>
      <c r="I27" s="325"/>
      <c r="J27" s="325"/>
      <c r="K27" s="325"/>
      <c r="L27" s="325"/>
      <c r="M27" s="326"/>
      <c r="N27" s="195"/>
      <c r="AD27" s="19"/>
      <c r="AE27" s="19"/>
      <c r="AF27" s="19"/>
      <c r="AG27" s="19"/>
      <c r="AH27" s="19"/>
      <c r="AI27" s="19"/>
      <c r="AJ27" s="19"/>
      <c r="AK27" s="19"/>
      <c r="AL27" s="19"/>
      <c r="AM27" s="19"/>
      <c r="AN27" s="24"/>
      <c r="AO27" s="65"/>
      <c r="AP27" s="65"/>
      <c r="AQ27" s="65"/>
      <c r="AR27" s="65"/>
      <c r="AS27" s="65"/>
      <c r="AT27" s="65"/>
      <c r="AU27" s="65"/>
      <c r="AV27" s="65"/>
      <c r="AW27" s="65"/>
      <c r="AX27" s="65"/>
      <c r="AY27" s="65"/>
      <c r="AZ27" s="65"/>
      <c r="BA27" s="65"/>
      <c r="BB27" s="65"/>
      <c r="BC27" s="65"/>
    </row>
    <row r="28" spans="2:108" hidden="1" x14ac:dyDescent="0.15">
      <c r="B28" s="231"/>
      <c r="C28" s="231"/>
      <c r="D28" s="231"/>
      <c r="E28" s="195"/>
      <c r="F28" s="236"/>
      <c r="G28" s="236"/>
      <c r="H28" s="195"/>
      <c r="I28" s="195"/>
      <c r="J28" s="195"/>
      <c r="K28" s="195"/>
      <c r="L28" s="195"/>
      <c r="M28" s="195"/>
      <c r="N28" s="195"/>
      <c r="AD28" s="19"/>
      <c r="AE28" s="19"/>
      <c r="AF28" s="19"/>
      <c r="AG28" s="19"/>
      <c r="AH28" s="19"/>
      <c r="AI28" s="19"/>
      <c r="AJ28" s="19"/>
      <c r="AK28" s="19"/>
      <c r="AL28" s="19"/>
      <c r="AM28" s="19"/>
      <c r="AN28" s="24"/>
      <c r="AO28" s="65"/>
      <c r="AP28" s="65"/>
      <c r="AQ28" s="65"/>
      <c r="AR28" s="65"/>
      <c r="AS28" s="65"/>
      <c r="AT28" s="65"/>
      <c r="AU28" s="65"/>
      <c r="AV28" s="65"/>
      <c r="AW28" s="65"/>
      <c r="AX28" s="65"/>
      <c r="AY28" s="65"/>
      <c r="AZ28" s="65"/>
      <c r="BA28" s="65"/>
      <c r="BB28" s="65"/>
      <c r="BC28" s="65"/>
    </row>
    <row r="29" spans="2:108" ht="18" hidden="1" x14ac:dyDescent="0.15">
      <c r="B29" s="231"/>
      <c r="C29" s="231"/>
      <c r="D29" s="231"/>
      <c r="E29" s="322" t="s">
        <v>557</v>
      </c>
      <c r="F29" s="322"/>
      <c r="G29" s="323"/>
      <c r="H29" s="324"/>
      <c r="I29" s="325"/>
      <c r="J29" s="325"/>
      <c r="K29" s="325"/>
      <c r="L29" s="325"/>
      <c r="M29" s="326"/>
      <c r="N29" s="195" t="s">
        <v>6</v>
      </c>
      <c r="AD29" s="19"/>
      <c r="AE29" s="19"/>
      <c r="AF29" s="19"/>
      <c r="AG29" s="19"/>
      <c r="AH29" s="19"/>
      <c r="AI29" s="19"/>
      <c r="AJ29" s="19"/>
      <c r="AK29" s="19"/>
      <c r="AL29" s="19"/>
      <c r="AM29" s="19"/>
      <c r="AN29" s="24"/>
      <c r="AO29" s="65"/>
      <c r="AP29" s="65"/>
      <c r="AQ29" s="65"/>
      <c r="AR29" s="65"/>
      <c r="AS29" s="65"/>
      <c r="AT29" s="65"/>
      <c r="AU29" s="65"/>
      <c r="AV29" s="65"/>
      <c r="AW29" s="65"/>
      <c r="AX29" s="65"/>
      <c r="AY29" s="65"/>
      <c r="AZ29" s="65"/>
      <c r="BA29" s="65"/>
      <c r="BB29" s="65"/>
      <c r="BC29" s="65"/>
    </row>
    <row r="30" spans="2:108" hidden="1" x14ac:dyDescent="0.15">
      <c r="B30" s="195"/>
      <c r="C30" s="195"/>
      <c r="D30" s="195"/>
      <c r="E30" s="195"/>
      <c r="F30" s="236"/>
      <c r="G30" s="236"/>
      <c r="H30" s="195"/>
      <c r="I30" s="195"/>
      <c r="J30" s="195"/>
      <c r="K30" s="195"/>
      <c r="L30" s="195"/>
      <c r="M30" s="195"/>
      <c r="N30" s="195"/>
      <c r="AD30" s="19"/>
      <c r="AE30" s="19"/>
      <c r="AF30" s="19"/>
      <c r="AG30" s="19"/>
      <c r="AH30" s="19"/>
      <c r="AI30" s="19"/>
      <c r="AJ30" s="19"/>
      <c r="AK30" s="19"/>
      <c r="AL30" s="19"/>
      <c r="AM30" s="19"/>
      <c r="AN30" s="24"/>
      <c r="AO30" s="65"/>
      <c r="AP30" s="65"/>
      <c r="AQ30" s="65"/>
      <c r="AR30" s="65"/>
      <c r="AS30" s="65"/>
      <c r="AT30" s="65"/>
      <c r="AU30" s="65"/>
      <c r="AV30" s="65"/>
      <c r="AW30" s="65"/>
      <c r="AX30" s="65"/>
      <c r="AY30" s="65"/>
      <c r="AZ30" s="65"/>
      <c r="BA30" s="65"/>
      <c r="BB30" s="65"/>
      <c r="BC30" s="65"/>
    </row>
    <row r="31" spans="2:108" ht="18" hidden="1" x14ac:dyDescent="0.15">
      <c r="B31" s="231"/>
      <c r="C31" s="231"/>
      <c r="D31" s="231"/>
      <c r="E31" s="322" t="s">
        <v>557</v>
      </c>
      <c r="F31" s="322"/>
      <c r="G31" s="323"/>
      <c r="H31" s="324"/>
      <c r="I31" s="325"/>
      <c r="J31" s="325"/>
      <c r="K31" s="325"/>
      <c r="L31" s="325"/>
      <c r="M31" s="326"/>
      <c r="N31" s="195" t="s">
        <v>6</v>
      </c>
      <c r="AD31" s="19"/>
      <c r="AE31" s="19"/>
      <c r="AF31" s="19"/>
      <c r="AG31" s="19"/>
      <c r="AH31" s="19"/>
      <c r="AI31" s="19"/>
      <c r="AJ31" s="19"/>
      <c r="AK31" s="19"/>
      <c r="AL31" s="19"/>
      <c r="AM31" s="19"/>
      <c r="AN31" s="24"/>
      <c r="AO31" s="65"/>
      <c r="AP31" s="65"/>
      <c r="AQ31" s="65"/>
      <c r="AR31" s="65"/>
      <c r="AS31" s="65"/>
      <c r="AT31" s="65"/>
      <c r="AU31" s="65"/>
      <c r="AV31" s="65"/>
      <c r="AW31" s="65"/>
      <c r="AX31" s="65"/>
      <c r="AY31" s="65"/>
      <c r="AZ31" s="65"/>
      <c r="BA31" s="65"/>
      <c r="BB31" s="65"/>
      <c r="BC31" s="65"/>
    </row>
    <row r="32" spans="2:108" hidden="1" x14ac:dyDescent="0.15">
      <c r="B32" s="195"/>
      <c r="C32" s="195"/>
      <c r="D32" s="195"/>
      <c r="E32" s="195"/>
      <c r="F32" s="195"/>
      <c r="G32" s="195"/>
      <c r="H32" s="195"/>
      <c r="I32" s="195"/>
      <c r="J32" s="195"/>
      <c r="K32" s="195"/>
      <c r="L32" s="195"/>
      <c r="M32" s="195"/>
      <c r="N32" s="195"/>
      <c r="AD32" s="19"/>
      <c r="AE32" s="19"/>
      <c r="AF32" s="19"/>
      <c r="AG32" s="19"/>
      <c r="AH32" s="19"/>
      <c r="AI32" s="19"/>
      <c r="AJ32" s="19"/>
      <c r="AK32" s="19"/>
      <c r="AL32" s="19"/>
      <c r="AM32" s="19"/>
      <c r="AN32" s="24"/>
      <c r="AO32" s="65"/>
      <c r="AP32" s="65"/>
      <c r="AQ32" s="65"/>
      <c r="AR32" s="65"/>
      <c r="AS32" s="65"/>
      <c r="AT32" s="65"/>
      <c r="AU32" s="65"/>
      <c r="AV32" s="65"/>
      <c r="AW32" s="65"/>
      <c r="AX32" s="65"/>
      <c r="AY32" s="65"/>
      <c r="AZ32" s="65"/>
      <c r="BA32" s="65"/>
      <c r="BB32" s="65"/>
      <c r="BC32" s="65"/>
    </row>
    <row r="33" spans="2:55" ht="18" hidden="1" x14ac:dyDescent="0.15">
      <c r="B33" s="231"/>
      <c r="C33" s="231"/>
      <c r="D33" s="231"/>
      <c r="E33" s="322" t="s">
        <v>557</v>
      </c>
      <c r="F33" s="322"/>
      <c r="G33" s="323"/>
      <c r="H33" s="324"/>
      <c r="I33" s="325"/>
      <c r="J33" s="325"/>
      <c r="K33" s="325"/>
      <c r="L33" s="325"/>
      <c r="M33" s="326"/>
      <c r="N33" s="195" t="s">
        <v>6</v>
      </c>
      <c r="AD33" s="19"/>
      <c r="AE33" s="19"/>
      <c r="AF33" s="19"/>
      <c r="AG33" s="19"/>
      <c r="AH33" s="19"/>
      <c r="AI33" s="19"/>
      <c r="AJ33" s="19"/>
      <c r="AK33" s="19"/>
      <c r="AL33" s="19"/>
      <c r="AM33" s="19"/>
      <c r="AN33" s="24"/>
      <c r="AO33" s="65"/>
      <c r="AP33" s="65"/>
      <c r="AQ33" s="65"/>
      <c r="AR33" s="65"/>
      <c r="AS33" s="65"/>
      <c r="AT33" s="65"/>
      <c r="AU33" s="65"/>
      <c r="AV33" s="65"/>
      <c r="AW33" s="65"/>
      <c r="AX33" s="65"/>
      <c r="AY33" s="65"/>
      <c r="AZ33" s="65"/>
      <c r="BA33" s="65"/>
      <c r="BB33" s="65"/>
      <c r="BC33" s="65"/>
    </row>
    <row r="34" spans="2:55" hidden="1" x14ac:dyDescent="0.15">
      <c r="B34" s="195"/>
      <c r="C34" s="195"/>
      <c r="D34" s="195"/>
      <c r="E34" s="195"/>
      <c r="F34" s="335"/>
      <c r="G34" s="335"/>
      <c r="H34" s="335"/>
      <c r="I34" s="195"/>
      <c r="J34" s="195"/>
      <c r="K34" s="195"/>
      <c r="L34" s="195"/>
      <c r="M34" s="195"/>
      <c r="N34" s="195"/>
      <c r="AD34" s="19"/>
      <c r="AE34" s="19"/>
      <c r="AF34" s="19"/>
      <c r="AG34" s="19"/>
      <c r="AH34" s="19"/>
      <c r="AI34" s="19"/>
      <c r="AJ34" s="19"/>
      <c r="AK34" s="19"/>
      <c r="AL34" s="19"/>
      <c r="AM34" s="19"/>
      <c r="AN34" s="24"/>
      <c r="AO34" s="65"/>
      <c r="AP34" s="65"/>
      <c r="AQ34" s="65"/>
      <c r="AR34" s="65"/>
      <c r="AS34" s="65"/>
      <c r="AT34" s="65"/>
      <c r="AU34" s="65"/>
      <c r="AV34" s="65"/>
      <c r="AW34" s="65"/>
      <c r="AX34" s="65"/>
      <c r="AY34" s="65"/>
      <c r="AZ34" s="65"/>
      <c r="BA34" s="65"/>
      <c r="BB34" s="65"/>
      <c r="BC34" s="65"/>
    </row>
    <row r="35" spans="2:55" x14ac:dyDescent="0.15">
      <c r="B35" s="231"/>
      <c r="C35" s="231"/>
      <c r="D35" s="231"/>
      <c r="E35" s="195"/>
      <c r="F35" s="335"/>
      <c r="G35" s="335"/>
      <c r="H35" s="195"/>
      <c r="I35" s="195"/>
      <c r="J35" s="195"/>
      <c r="K35" s="195"/>
      <c r="L35" s="195"/>
      <c r="M35" s="195"/>
      <c r="N35" s="195"/>
      <c r="AD35" s="19"/>
      <c r="AE35" s="19"/>
      <c r="AF35" s="19"/>
      <c r="AG35" s="19"/>
      <c r="AH35" s="19"/>
      <c r="AI35" s="19"/>
      <c r="AJ35" s="19"/>
      <c r="AK35" s="19"/>
      <c r="AL35" s="19"/>
      <c r="AM35" s="19"/>
      <c r="AN35" s="24"/>
      <c r="AO35" s="65"/>
      <c r="AP35" s="65"/>
      <c r="AQ35" s="65"/>
      <c r="AR35" s="65"/>
      <c r="AS35" s="65"/>
      <c r="AT35" s="65"/>
      <c r="AU35" s="65"/>
      <c r="AV35" s="65"/>
      <c r="AW35" s="65"/>
      <c r="AX35" s="65"/>
      <c r="AY35" s="65"/>
      <c r="AZ35" s="65"/>
      <c r="BA35" s="65"/>
      <c r="BB35" s="65"/>
      <c r="BC35" s="65"/>
    </row>
    <row r="36" spans="2:55" ht="18" x14ac:dyDescent="0.15">
      <c r="B36" s="231"/>
      <c r="C36" s="231"/>
      <c r="D36" s="231"/>
      <c r="E36" s="322" t="s">
        <v>452</v>
      </c>
      <c r="F36" s="322"/>
      <c r="G36" s="323"/>
      <c r="H36" s="324"/>
      <c r="I36" s="325"/>
      <c r="J36" s="325"/>
      <c r="K36" s="325"/>
      <c r="L36" s="325"/>
      <c r="M36" s="326"/>
      <c r="N36" s="195"/>
      <c r="AD36" s="19"/>
      <c r="AE36" s="19"/>
      <c r="AF36" s="19"/>
      <c r="AG36" s="19"/>
      <c r="AH36" s="19"/>
      <c r="AI36" s="19"/>
      <c r="AJ36" s="19"/>
      <c r="AK36" s="19"/>
      <c r="AL36" s="19"/>
      <c r="AM36" s="19"/>
      <c r="AN36" s="24"/>
      <c r="AO36" s="65"/>
      <c r="AP36" s="65"/>
      <c r="AQ36" s="65"/>
      <c r="AR36" s="65"/>
      <c r="AS36" s="65"/>
      <c r="AT36" s="65"/>
      <c r="AU36" s="65"/>
      <c r="AV36" s="65"/>
      <c r="AW36" s="65"/>
      <c r="AX36" s="65"/>
      <c r="AY36" s="65"/>
      <c r="AZ36" s="65"/>
      <c r="BA36" s="65"/>
      <c r="BB36" s="65"/>
      <c r="BC36" s="65"/>
    </row>
    <row r="37" spans="2:55" x14ac:dyDescent="0.15">
      <c r="B37" s="195"/>
      <c r="C37" s="195"/>
      <c r="D37" s="195"/>
      <c r="E37" s="195"/>
      <c r="F37" s="195"/>
      <c r="G37" s="195"/>
      <c r="H37" s="195"/>
      <c r="I37" s="195"/>
      <c r="J37" s="195"/>
      <c r="K37" s="195"/>
      <c r="L37" s="195"/>
      <c r="M37" s="195"/>
      <c r="N37" s="195"/>
      <c r="AD37" s="19"/>
      <c r="AE37" s="19"/>
      <c r="AF37" s="19"/>
      <c r="AG37" s="19"/>
      <c r="AH37" s="19"/>
      <c r="AI37" s="19"/>
      <c r="AJ37" s="19"/>
      <c r="AK37" s="19"/>
      <c r="AL37" s="19"/>
      <c r="AM37" s="19"/>
      <c r="AN37" s="24"/>
      <c r="AO37" s="65"/>
      <c r="AP37" s="65"/>
      <c r="AQ37" s="65"/>
      <c r="AR37" s="65"/>
      <c r="AS37" s="65"/>
      <c r="AT37" s="65"/>
      <c r="AU37" s="65"/>
      <c r="AV37" s="65"/>
      <c r="AW37" s="65"/>
      <c r="AX37" s="65"/>
      <c r="AY37" s="65"/>
      <c r="AZ37" s="65"/>
      <c r="BA37" s="65"/>
      <c r="BB37" s="65"/>
      <c r="BC37" s="65"/>
    </row>
    <row r="38" spans="2:55" ht="18.75" customHeight="1" x14ac:dyDescent="0.15">
      <c r="B38" s="231"/>
      <c r="C38" s="231"/>
      <c r="D38" s="231"/>
      <c r="E38" s="236"/>
      <c r="F38" s="322" t="s">
        <v>453</v>
      </c>
      <c r="G38" s="323"/>
      <c r="H38" s="324"/>
      <c r="I38" s="325"/>
      <c r="J38" s="325"/>
      <c r="K38" s="325"/>
      <c r="L38" s="325"/>
      <c r="M38" s="326"/>
      <c r="N38" s="195"/>
      <c r="AD38" s="19"/>
      <c r="AE38" s="19"/>
      <c r="AF38" s="19"/>
      <c r="AG38" s="19"/>
      <c r="AH38" s="19"/>
      <c r="AI38" s="19"/>
      <c r="AJ38" s="19"/>
      <c r="AK38" s="19"/>
      <c r="AL38" s="19"/>
      <c r="AM38" s="19"/>
      <c r="AN38" s="24"/>
      <c r="AO38" s="65"/>
      <c r="AP38" s="65"/>
      <c r="AQ38" s="65"/>
      <c r="AR38" s="65"/>
      <c r="AS38" s="65"/>
      <c r="AT38" s="65"/>
      <c r="AU38" s="65"/>
      <c r="AV38" s="65"/>
      <c r="AW38" s="65"/>
      <c r="AX38" s="65"/>
      <c r="AY38" s="65"/>
      <c r="AZ38" s="65"/>
      <c r="BA38" s="65"/>
      <c r="BB38" s="65"/>
      <c r="BC38" s="65"/>
    </row>
    <row r="39" spans="2:55" ht="19.5" customHeight="1" x14ac:dyDescent="0.15">
      <c r="B39" s="231"/>
      <c r="C39" s="231"/>
      <c r="D39" s="231"/>
      <c r="E39" s="322" t="s">
        <v>454</v>
      </c>
      <c r="F39" s="322"/>
      <c r="G39" s="323"/>
      <c r="H39" s="324"/>
      <c r="I39" s="325"/>
      <c r="J39" s="325"/>
      <c r="K39" s="325"/>
      <c r="L39" s="325"/>
      <c r="M39" s="326"/>
      <c r="N39" s="195"/>
      <c r="AD39" s="19"/>
      <c r="AE39" s="19"/>
      <c r="AF39" s="19"/>
      <c r="AG39" s="19"/>
      <c r="AH39" s="19"/>
      <c r="AI39" s="19"/>
      <c r="AJ39" s="19"/>
      <c r="AK39" s="19"/>
      <c r="AL39" s="19"/>
      <c r="AM39" s="19"/>
      <c r="AN39" s="24"/>
      <c r="AO39" s="65"/>
      <c r="AP39" s="65"/>
      <c r="AQ39" s="65"/>
      <c r="AR39" s="65"/>
      <c r="AS39" s="65"/>
      <c r="AT39" s="65"/>
      <c r="AU39" s="65"/>
      <c r="AV39" s="65"/>
      <c r="AW39" s="65"/>
      <c r="AX39" s="65"/>
      <c r="AY39" s="65"/>
      <c r="AZ39" s="65"/>
      <c r="BA39" s="65"/>
      <c r="BB39" s="65"/>
      <c r="BC39" s="65"/>
    </row>
    <row r="40" spans="2:55" ht="15" customHeight="1" x14ac:dyDescent="0.15">
      <c r="B40" s="195"/>
      <c r="C40" s="195"/>
      <c r="D40" s="195"/>
      <c r="E40" s="195"/>
      <c r="F40" s="195"/>
      <c r="G40" s="195"/>
      <c r="H40" s="195"/>
      <c r="I40" s="195"/>
      <c r="J40" s="195"/>
      <c r="K40" s="195"/>
      <c r="L40" s="195"/>
      <c r="M40" s="195"/>
      <c r="N40" s="195"/>
      <c r="AD40" s="19"/>
      <c r="AE40" s="19"/>
      <c r="AF40" s="19"/>
      <c r="AG40" s="19"/>
      <c r="AH40" s="19"/>
      <c r="AI40" s="19"/>
      <c r="AJ40" s="19"/>
      <c r="AK40" s="19"/>
      <c r="AL40" s="19"/>
      <c r="AM40" s="19"/>
      <c r="AN40" s="24"/>
      <c r="AO40" s="65"/>
      <c r="AP40" s="65"/>
      <c r="AQ40" s="65"/>
      <c r="AR40" s="65"/>
      <c r="AS40" s="65"/>
      <c r="AT40" s="65"/>
      <c r="AU40" s="65"/>
      <c r="AV40" s="65"/>
      <c r="AW40" s="65"/>
      <c r="AX40" s="65"/>
      <c r="AY40" s="65"/>
      <c r="AZ40" s="65"/>
      <c r="BA40" s="65"/>
      <c r="BB40" s="65"/>
      <c r="BC40" s="65"/>
    </row>
    <row r="41" spans="2:55" x14ac:dyDescent="0.15">
      <c r="B41" s="195"/>
      <c r="C41" s="195"/>
      <c r="D41" s="195"/>
      <c r="E41" s="195"/>
      <c r="F41" s="195"/>
      <c r="G41" s="195"/>
      <c r="H41" s="195"/>
      <c r="I41" s="195"/>
      <c r="J41" s="195"/>
      <c r="K41" s="195"/>
      <c r="L41" s="195"/>
      <c r="M41" s="195"/>
      <c r="N41" s="195"/>
      <c r="AD41" s="19"/>
      <c r="AE41" s="19"/>
      <c r="AF41" s="19"/>
      <c r="AG41" s="19"/>
      <c r="AH41" s="19"/>
      <c r="AI41" s="19"/>
      <c r="AJ41" s="19"/>
      <c r="AK41" s="19"/>
      <c r="AL41" s="19"/>
      <c r="AM41" s="19"/>
      <c r="AN41" s="24"/>
      <c r="AO41" s="65"/>
      <c r="AP41" s="65"/>
      <c r="AQ41" s="65"/>
      <c r="AR41" s="65"/>
      <c r="AS41" s="65"/>
      <c r="AT41" s="65"/>
      <c r="AU41" s="65"/>
      <c r="AV41" s="65"/>
      <c r="AW41" s="65"/>
      <c r="AX41" s="65"/>
      <c r="AY41" s="65"/>
      <c r="AZ41" s="65"/>
      <c r="BA41" s="65"/>
      <c r="BB41" s="65"/>
      <c r="BC41" s="65"/>
    </row>
    <row r="42" spans="2:55" ht="18.75" customHeight="1" x14ac:dyDescent="0.15">
      <c r="B42" s="231"/>
      <c r="C42" s="231"/>
      <c r="D42" s="231"/>
      <c r="E42" s="236"/>
      <c r="F42" s="322" t="s">
        <v>453</v>
      </c>
      <c r="G42" s="323"/>
      <c r="H42" s="324"/>
      <c r="I42" s="325"/>
      <c r="J42" s="325"/>
      <c r="K42" s="325"/>
      <c r="L42" s="325"/>
      <c r="M42" s="326"/>
      <c r="N42" s="195"/>
      <c r="AD42" s="19"/>
      <c r="AE42" s="19"/>
      <c r="AF42" s="19"/>
      <c r="AG42" s="19"/>
      <c r="AH42" s="19"/>
      <c r="AI42" s="19"/>
      <c r="AJ42" s="19"/>
      <c r="AK42" s="19"/>
      <c r="AL42" s="19"/>
      <c r="AM42" s="19"/>
      <c r="AN42" s="24"/>
      <c r="AO42" s="65"/>
      <c r="AP42" s="65"/>
      <c r="AQ42" s="65"/>
      <c r="AR42" s="65"/>
      <c r="AS42" s="65"/>
      <c r="AT42" s="65"/>
      <c r="AU42" s="65"/>
      <c r="AV42" s="65"/>
      <c r="AW42" s="65"/>
      <c r="AX42" s="65"/>
      <c r="AY42" s="65"/>
      <c r="AZ42" s="65"/>
      <c r="BA42" s="65"/>
      <c r="BB42" s="65"/>
      <c r="BC42" s="65"/>
    </row>
    <row r="43" spans="2:55" ht="19.5" customHeight="1" x14ac:dyDescent="0.15">
      <c r="B43" s="231"/>
      <c r="C43" s="231"/>
      <c r="D43" s="231"/>
      <c r="E43" s="322" t="s">
        <v>454</v>
      </c>
      <c r="F43" s="322"/>
      <c r="G43" s="323"/>
      <c r="H43" s="324"/>
      <c r="I43" s="325"/>
      <c r="J43" s="325"/>
      <c r="K43" s="325"/>
      <c r="L43" s="325"/>
      <c r="M43" s="326"/>
      <c r="N43" s="195"/>
      <c r="AD43" s="19"/>
      <c r="AE43" s="19"/>
      <c r="AF43" s="19"/>
      <c r="AG43" s="19"/>
      <c r="AH43" s="19"/>
      <c r="AI43" s="19"/>
      <c r="AJ43" s="19"/>
      <c r="AK43" s="19"/>
      <c r="AL43" s="19"/>
      <c r="AM43" s="19"/>
      <c r="AN43" s="24"/>
      <c r="AO43" s="65"/>
      <c r="AP43" s="65"/>
      <c r="AQ43" s="65"/>
      <c r="AR43" s="65"/>
      <c r="AS43" s="65"/>
      <c r="AT43" s="65"/>
      <c r="AU43" s="65"/>
      <c r="AV43" s="65"/>
      <c r="AW43" s="65"/>
      <c r="AX43" s="65"/>
      <c r="AY43" s="65"/>
      <c r="AZ43" s="65"/>
      <c r="BA43" s="65"/>
      <c r="BB43" s="65"/>
      <c r="BC43" s="65"/>
    </row>
    <row r="44" spans="2:55" ht="15" customHeight="1" x14ac:dyDescent="0.15">
      <c r="B44" s="195"/>
      <c r="C44" s="195"/>
      <c r="D44" s="195"/>
      <c r="E44" s="195"/>
      <c r="F44" s="195"/>
      <c r="G44" s="195"/>
      <c r="H44" s="195"/>
      <c r="I44" s="195"/>
      <c r="J44" s="195"/>
      <c r="K44" s="195"/>
      <c r="L44" s="195"/>
      <c r="M44" s="195"/>
      <c r="N44" s="195"/>
      <c r="AD44" s="19"/>
      <c r="AE44" s="19"/>
      <c r="AF44" s="19"/>
      <c r="AG44" s="19"/>
      <c r="AH44" s="19"/>
      <c r="AI44" s="19"/>
      <c r="AJ44" s="19"/>
      <c r="AK44" s="19"/>
      <c r="AL44" s="19"/>
      <c r="AM44" s="19"/>
      <c r="AN44" s="24"/>
      <c r="AO44" s="65"/>
      <c r="AP44" s="65"/>
      <c r="AQ44" s="65"/>
      <c r="AR44" s="65"/>
      <c r="AS44" s="65"/>
      <c r="AT44" s="65"/>
      <c r="AU44" s="65"/>
      <c r="AV44" s="65"/>
      <c r="AW44" s="65"/>
      <c r="AX44" s="65"/>
      <c r="AY44" s="65"/>
      <c r="AZ44" s="65"/>
      <c r="BA44" s="65"/>
      <c r="BB44" s="65"/>
      <c r="BC44" s="65"/>
    </row>
    <row r="45" spans="2:55" x14ac:dyDescent="0.15">
      <c r="B45" s="195"/>
      <c r="C45" s="195"/>
      <c r="D45" s="195"/>
      <c r="E45" s="195"/>
      <c r="F45" s="195"/>
      <c r="G45" s="195"/>
      <c r="H45" s="195"/>
      <c r="I45" s="195"/>
      <c r="J45" s="195"/>
      <c r="K45" s="195"/>
      <c r="L45" s="195"/>
      <c r="M45" s="195"/>
      <c r="N45" s="195"/>
      <c r="AD45" s="19"/>
      <c r="AE45" s="19"/>
      <c r="AF45" s="19"/>
      <c r="AG45" s="19"/>
      <c r="AH45" s="19"/>
      <c r="AI45" s="19"/>
      <c r="AJ45" s="19"/>
      <c r="AK45" s="19"/>
      <c r="AL45" s="19"/>
      <c r="AM45" s="19"/>
      <c r="AN45" s="24"/>
      <c r="AO45" s="65"/>
      <c r="AP45" s="65"/>
      <c r="AQ45" s="65"/>
      <c r="AR45" s="65"/>
      <c r="AS45" s="65"/>
      <c r="AT45" s="65"/>
      <c r="AU45" s="65"/>
      <c r="AV45" s="65"/>
      <c r="AW45" s="65"/>
      <c r="AX45" s="65"/>
      <c r="AY45" s="65"/>
      <c r="AZ45" s="65"/>
      <c r="BA45" s="65"/>
      <c r="BB45" s="65"/>
      <c r="BC45" s="65"/>
    </row>
    <row r="46" spans="2:55" ht="18.75" customHeight="1" x14ac:dyDescent="0.15">
      <c r="B46" s="231"/>
      <c r="C46" s="231"/>
      <c r="D46" s="231"/>
      <c r="E46" s="236"/>
      <c r="F46" s="322" t="s">
        <v>453</v>
      </c>
      <c r="G46" s="323"/>
      <c r="H46" s="324"/>
      <c r="I46" s="325"/>
      <c r="J46" s="325"/>
      <c r="K46" s="325"/>
      <c r="L46" s="325"/>
      <c r="M46" s="326"/>
      <c r="N46" s="195"/>
      <c r="AD46" s="19"/>
      <c r="AE46" s="19"/>
      <c r="AF46" s="19"/>
      <c r="AG46" s="19"/>
      <c r="AH46" s="19"/>
      <c r="AI46" s="19"/>
      <c r="AJ46" s="19"/>
      <c r="AK46" s="19"/>
      <c r="AL46" s="19"/>
      <c r="AM46" s="19"/>
      <c r="AN46" s="24"/>
      <c r="AO46" s="65"/>
      <c r="AP46" s="65"/>
      <c r="AQ46" s="65"/>
      <c r="AR46" s="65"/>
      <c r="AS46" s="65"/>
      <c r="AT46" s="65"/>
      <c r="AU46" s="65"/>
      <c r="AV46" s="65"/>
      <c r="AW46" s="65"/>
      <c r="AX46" s="65"/>
      <c r="AY46" s="65"/>
      <c r="AZ46" s="65"/>
      <c r="BA46" s="65"/>
      <c r="BB46" s="65"/>
      <c r="BC46" s="65"/>
    </row>
    <row r="47" spans="2:55" ht="19.5" customHeight="1" x14ac:dyDescent="0.15">
      <c r="B47" s="231"/>
      <c r="C47" s="231"/>
      <c r="D47" s="231"/>
      <c r="E47" s="322" t="s">
        <v>454</v>
      </c>
      <c r="F47" s="322"/>
      <c r="G47" s="323"/>
      <c r="H47" s="324"/>
      <c r="I47" s="325"/>
      <c r="J47" s="325"/>
      <c r="K47" s="325"/>
      <c r="L47" s="325"/>
      <c r="M47" s="326"/>
      <c r="N47" s="195"/>
      <c r="AD47" s="19"/>
      <c r="AE47" s="19"/>
      <c r="AF47" s="19"/>
      <c r="AG47" s="19"/>
      <c r="AH47" s="19"/>
      <c r="AI47" s="19"/>
      <c r="AJ47" s="19"/>
      <c r="AK47" s="19"/>
      <c r="AL47" s="19"/>
      <c r="AM47" s="19"/>
      <c r="AN47" s="24"/>
      <c r="AO47" s="65"/>
      <c r="AP47" s="65"/>
      <c r="AQ47" s="65"/>
      <c r="AR47" s="65"/>
      <c r="AS47" s="65"/>
      <c r="AT47" s="65"/>
      <c r="AU47" s="65"/>
      <c r="AV47" s="65"/>
      <c r="AW47" s="65"/>
      <c r="AX47" s="65"/>
      <c r="AY47" s="65"/>
      <c r="AZ47" s="65"/>
      <c r="BA47" s="65"/>
      <c r="BB47" s="65"/>
      <c r="BC47" s="65"/>
    </row>
    <row r="48" spans="2:55" x14ac:dyDescent="0.15">
      <c r="B48" s="195"/>
      <c r="C48" s="195"/>
      <c r="D48" s="195"/>
      <c r="E48" s="195"/>
      <c r="F48" s="195"/>
      <c r="G48" s="195"/>
      <c r="H48" s="195"/>
      <c r="I48" s="195"/>
      <c r="J48" s="195"/>
      <c r="K48" s="195"/>
      <c r="L48" s="195"/>
      <c r="M48" s="195"/>
      <c r="N48" s="195"/>
      <c r="AD48" s="19"/>
      <c r="AE48" s="19"/>
      <c r="AF48" s="19"/>
      <c r="AG48" s="19"/>
      <c r="AH48" s="19"/>
      <c r="AI48" s="19"/>
      <c r="AJ48" s="19"/>
      <c r="AK48" s="19"/>
      <c r="AL48" s="19"/>
      <c r="AM48" s="19"/>
      <c r="AN48" s="24"/>
      <c r="AO48" s="65"/>
      <c r="AP48" s="65"/>
      <c r="AQ48" s="65"/>
      <c r="AR48" s="65"/>
      <c r="AS48" s="65"/>
      <c r="AT48" s="65"/>
      <c r="AU48" s="65"/>
      <c r="AV48" s="65"/>
      <c r="AW48" s="65"/>
      <c r="AX48" s="65"/>
      <c r="AY48" s="65"/>
      <c r="AZ48" s="65"/>
      <c r="BA48" s="65"/>
      <c r="BB48" s="65"/>
      <c r="BC48" s="65"/>
    </row>
    <row r="49" spans="1:55" ht="18.75" hidden="1" customHeight="1" x14ac:dyDescent="0.15">
      <c r="B49" s="231"/>
      <c r="C49" s="231"/>
      <c r="D49" s="231"/>
      <c r="E49" s="236"/>
      <c r="F49" s="322" t="s">
        <v>453</v>
      </c>
      <c r="G49" s="323"/>
      <c r="H49" s="324"/>
      <c r="I49" s="325"/>
      <c r="J49" s="325"/>
      <c r="K49" s="325"/>
      <c r="L49" s="325"/>
      <c r="M49" s="326"/>
      <c r="N49" s="195" t="s">
        <v>6</v>
      </c>
      <c r="AD49" s="19"/>
      <c r="AE49" s="19"/>
      <c r="AF49" s="19"/>
      <c r="AG49" s="19"/>
      <c r="AH49" s="19"/>
      <c r="AI49" s="19"/>
      <c r="AJ49" s="19"/>
      <c r="AK49" s="19"/>
      <c r="AL49" s="19"/>
      <c r="AM49" s="19"/>
      <c r="AN49" s="24"/>
      <c r="AO49" s="65"/>
      <c r="AP49" s="65"/>
      <c r="AQ49" s="65"/>
      <c r="AR49" s="65"/>
      <c r="AS49" s="65"/>
      <c r="AT49" s="65"/>
      <c r="AU49" s="65"/>
      <c r="AV49" s="65"/>
      <c r="AW49" s="65"/>
      <c r="AX49" s="65"/>
      <c r="AY49" s="65"/>
      <c r="AZ49" s="65"/>
      <c r="BA49" s="65"/>
      <c r="BB49" s="65"/>
      <c r="BC49" s="65"/>
    </row>
    <row r="50" spans="1:55" ht="19.5" hidden="1" customHeight="1" x14ac:dyDescent="0.15">
      <c r="B50" s="231"/>
      <c r="C50" s="231"/>
      <c r="D50" s="231"/>
      <c r="E50" s="322" t="s">
        <v>454</v>
      </c>
      <c r="F50" s="322"/>
      <c r="G50" s="323"/>
      <c r="H50" s="324"/>
      <c r="I50" s="325"/>
      <c r="J50" s="325"/>
      <c r="K50" s="325"/>
      <c r="L50" s="325"/>
      <c r="M50" s="326"/>
      <c r="N50" s="195"/>
      <c r="AD50" s="19"/>
      <c r="AE50" s="19"/>
      <c r="AF50" s="19"/>
      <c r="AG50" s="19"/>
      <c r="AH50" s="19"/>
      <c r="AI50" s="19"/>
      <c r="AJ50" s="19"/>
      <c r="AK50" s="19"/>
      <c r="AL50" s="19"/>
      <c r="AM50" s="19"/>
      <c r="AN50" s="24"/>
      <c r="AO50" s="65"/>
      <c r="AP50" s="65"/>
      <c r="AQ50" s="65"/>
      <c r="AR50" s="65"/>
      <c r="AS50" s="65"/>
      <c r="AT50" s="65"/>
      <c r="AU50" s="65"/>
      <c r="AV50" s="65"/>
      <c r="AW50" s="65"/>
      <c r="AX50" s="65"/>
      <c r="AY50" s="65"/>
      <c r="AZ50" s="65"/>
      <c r="BA50" s="65"/>
      <c r="BB50" s="65"/>
      <c r="BC50" s="65"/>
    </row>
    <row r="51" spans="1:55" ht="15" hidden="1" customHeight="1" x14ac:dyDescent="0.15">
      <c r="B51" s="195"/>
      <c r="C51" s="195"/>
      <c r="D51" s="195"/>
      <c r="E51" s="195"/>
      <c r="F51" s="195"/>
      <c r="G51" s="195"/>
      <c r="H51" s="195"/>
      <c r="I51" s="195"/>
      <c r="J51" s="195"/>
      <c r="K51" s="195"/>
      <c r="L51" s="195"/>
      <c r="M51" s="195"/>
      <c r="N51" s="195"/>
      <c r="AD51" s="19"/>
      <c r="AE51" s="19"/>
      <c r="AF51" s="19"/>
      <c r="AG51" s="19"/>
      <c r="AH51" s="19"/>
      <c r="AI51" s="19"/>
      <c r="AJ51" s="19"/>
      <c r="AK51" s="19"/>
      <c r="AL51" s="19"/>
      <c r="AM51" s="19"/>
      <c r="AN51" s="24"/>
      <c r="AO51" s="65"/>
      <c r="AP51" s="65"/>
      <c r="AQ51" s="65"/>
      <c r="AR51" s="65"/>
      <c r="AS51" s="65"/>
      <c r="AT51" s="65"/>
      <c r="AU51" s="65"/>
      <c r="AV51" s="65"/>
      <c r="AW51" s="65"/>
      <c r="AX51" s="65"/>
      <c r="AY51" s="65"/>
      <c r="AZ51" s="65"/>
      <c r="BA51" s="65"/>
      <c r="BB51" s="65"/>
      <c r="BC51" s="65"/>
    </row>
    <row r="52" spans="1:55" hidden="1" x14ac:dyDescent="0.15">
      <c r="B52" s="195"/>
      <c r="C52" s="195"/>
      <c r="D52" s="195"/>
      <c r="E52" s="195"/>
      <c r="F52" s="195"/>
      <c r="G52" s="195"/>
      <c r="H52" s="195"/>
      <c r="I52" s="195"/>
      <c r="J52" s="195"/>
      <c r="K52" s="195"/>
      <c r="L52" s="195"/>
      <c r="M52" s="195"/>
      <c r="N52" s="195"/>
      <c r="AD52" s="19"/>
      <c r="AE52" s="19"/>
      <c r="AF52" s="19"/>
      <c r="AG52" s="19"/>
      <c r="AH52" s="19"/>
      <c r="AI52" s="19"/>
      <c r="AJ52" s="19"/>
      <c r="AK52" s="19"/>
      <c r="AL52" s="19"/>
      <c r="AM52" s="19"/>
      <c r="AN52" s="24"/>
      <c r="AO52" s="65"/>
      <c r="AP52" s="65"/>
      <c r="AQ52" s="65"/>
      <c r="AR52" s="65"/>
      <c r="AS52" s="65"/>
      <c r="AT52" s="65"/>
      <c r="AU52" s="65"/>
      <c r="AV52" s="65"/>
      <c r="AW52" s="65"/>
      <c r="AX52" s="65"/>
      <c r="AY52" s="65"/>
      <c r="AZ52" s="65"/>
      <c r="BA52" s="65"/>
      <c r="BB52" s="65"/>
      <c r="BC52" s="65"/>
    </row>
    <row r="53" spans="1:55" ht="18.75" hidden="1" customHeight="1" x14ac:dyDescent="0.15">
      <c r="B53" s="231"/>
      <c r="C53" s="231"/>
      <c r="D53" s="231"/>
      <c r="E53" s="236"/>
      <c r="F53" s="322" t="s">
        <v>453</v>
      </c>
      <c r="G53" s="323"/>
      <c r="H53" s="324"/>
      <c r="I53" s="325"/>
      <c r="J53" s="325"/>
      <c r="K53" s="325"/>
      <c r="L53" s="325"/>
      <c r="M53" s="326"/>
      <c r="N53" s="195" t="s">
        <v>6</v>
      </c>
      <c r="AD53" s="19"/>
      <c r="AE53" s="19"/>
      <c r="AF53" s="19"/>
      <c r="AG53" s="19"/>
      <c r="AH53" s="19"/>
      <c r="AI53" s="19"/>
      <c r="AJ53" s="19"/>
      <c r="AK53" s="19"/>
      <c r="AL53" s="19"/>
      <c r="AM53" s="19"/>
      <c r="AN53" s="24"/>
      <c r="AO53" s="65"/>
      <c r="AP53" s="65"/>
      <c r="AQ53" s="65"/>
      <c r="AR53" s="65"/>
      <c r="AS53" s="65"/>
      <c r="AT53" s="65"/>
      <c r="AU53" s="65"/>
      <c r="AV53" s="65"/>
      <c r="AW53" s="65"/>
      <c r="AX53" s="65"/>
      <c r="AY53" s="65"/>
      <c r="AZ53" s="65"/>
      <c r="BA53" s="65"/>
      <c r="BB53" s="65"/>
      <c r="BC53" s="65"/>
    </row>
    <row r="54" spans="1:55" ht="19.5" hidden="1" customHeight="1" x14ac:dyDescent="0.15">
      <c r="B54" s="231"/>
      <c r="C54" s="231"/>
      <c r="D54" s="231"/>
      <c r="E54" s="322" t="s">
        <v>454</v>
      </c>
      <c r="F54" s="322"/>
      <c r="G54" s="323"/>
      <c r="H54" s="324"/>
      <c r="I54" s="325"/>
      <c r="J54" s="325"/>
      <c r="K54" s="325"/>
      <c r="L54" s="325"/>
      <c r="M54" s="326"/>
      <c r="N54" s="195"/>
      <c r="AD54" s="19"/>
      <c r="AE54" s="19"/>
      <c r="AF54" s="19"/>
      <c r="AG54" s="19"/>
      <c r="AH54" s="19"/>
      <c r="AI54" s="19"/>
      <c r="AJ54" s="19"/>
      <c r="AK54" s="19"/>
      <c r="AL54" s="19"/>
      <c r="AM54" s="19"/>
      <c r="AN54" s="24"/>
      <c r="AO54" s="65"/>
      <c r="AP54" s="65"/>
      <c r="AQ54" s="65"/>
      <c r="AR54" s="65"/>
      <c r="AS54" s="65"/>
      <c r="AT54" s="65"/>
      <c r="AU54" s="65"/>
      <c r="AV54" s="65"/>
      <c r="AW54" s="65"/>
      <c r="AX54" s="65"/>
      <c r="AY54" s="65"/>
      <c r="AZ54" s="65"/>
      <c r="BA54" s="65"/>
      <c r="BB54" s="65"/>
      <c r="BC54" s="65"/>
    </row>
    <row r="55" spans="1:55" ht="15" hidden="1" customHeight="1" x14ac:dyDescent="0.15">
      <c r="B55" s="195"/>
      <c r="C55" s="195"/>
      <c r="D55" s="195"/>
      <c r="E55" s="195"/>
      <c r="F55" s="195"/>
      <c r="G55" s="195"/>
      <c r="H55" s="195"/>
      <c r="I55" s="195"/>
      <c r="J55" s="195"/>
      <c r="K55" s="195"/>
      <c r="L55" s="195"/>
      <c r="M55" s="195"/>
      <c r="N55" s="195"/>
      <c r="AD55" s="19"/>
      <c r="AE55" s="19"/>
      <c r="AF55" s="19"/>
      <c r="AG55" s="19"/>
      <c r="AH55" s="19"/>
      <c r="AI55" s="19"/>
      <c r="AJ55" s="19"/>
      <c r="AK55" s="19"/>
      <c r="AL55" s="19"/>
      <c r="AM55" s="19"/>
      <c r="AN55" s="24"/>
      <c r="AO55" s="65"/>
      <c r="AP55" s="65"/>
      <c r="AQ55" s="65"/>
      <c r="AR55" s="65"/>
      <c r="AS55" s="65"/>
      <c r="AT55" s="65"/>
      <c r="AU55" s="65"/>
      <c r="AV55" s="65"/>
      <c r="AW55" s="65"/>
      <c r="AX55" s="65"/>
      <c r="AY55" s="65"/>
      <c r="AZ55" s="65"/>
      <c r="BA55" s="65"/>
      <c r="BB55" s="65"/>
      <c r="BC55" s="65"/>
    </row>
    <row r="56" spans="1:55" hidden="1" x14ac:dyDescent="0.15">
      <c r="B56" s="195"/>
      <c r="C56" s="195"/>
      <c r="D56" s="195"/>
      <c r="E56" s="195"/>
      <c r="F56" s="195"/>
      <c r="G56" s="195"/>
      <c r="H56" s="195"/>
      <c r="I56" s="195"/>
      <c r="J56" s="195"/>
      <c r="K56" s="195"/>
      <c r="L56" s="195"/>
      <c r="M56" s="195"/>
      <c r="N56" s="195"/>
      <c r="AD56" s="19"/>
      <c r="AE56" s="19"/>
      <c r="AF56" s="19"/>
      <c r="AG56" s="19"/>
      <c r="AH56" s="19"/>
      <c r="AI56" s="19"/>
      <c r="AJ56" s="19"/>
      <c r="AK56" s="19"/>
      <c r="AL56" s="19"/>
      <c r="AM56" s="19"/>
      <c r="AN56" s="24"/>
      <c r="AO56" s="65"/>
      <c r="AP56" s="65"/>
      <c r="AQ56" s="65"/>
      <c r="AR56" s="65"/>
      <c r="AS56" s="65"/>
      <c r="AT56" s="65"/>
      <c r="AU56" s="65"/>
      <c r="AV56" s="65"/>
      <c r="AW56" s="65"/>
      <c r="AX56" s="65"/>
      <c r="AY56" s="65"/>
      <c r="AZ56" s="65"/>
      <c r="BA56" s="65"/>
      <c r="BB56" s="65"/>
      <c r="BC56" s="65"/>
    </row>
    <row r="57" spans="1:55" ht="18.75" hidden="1" customHeight="1" x14ac:dyDescent="0.15">
      <c r="B57" s="231"/>
      <c r="C57" s="231"/>
      <c r="D57" s="231"/>
      <c r="E57" s="236"/>
      <c r="F57" s="322" t="s">
        <v>453</v>
      </c>
      <c r="G57" s="323"/>
      <c r="H57" s="324"/>
      <c r="I57" s="325"/>
      <c r="J57" s="325"/>
      <c r="K57" s="325"/>
      <c r="L57" s="325"/>
      <c r="M57" s="326"/>
      <c r="N57" s="195" t="s">
        <v>6</v>
      </c>
      <c r="AD57" s="19"/>
      <c r="AE57" s="19"/>
      <c r="AF57" s="19"/>
      <c r="AG57" s="19"/>
      <c r="AH57" s="19"/>
      <c r="AI57" s="19"/>
      <c r="AJ57" s="19"/>
      <c r="AK57" s="19"/>
      <c r="AL57" s="19"/>
      <c r="AM57" s="19"/>
      <c r="AN57" s="24"/>
      <c r="AO57" s="65"/>
      <c r="AP57" s="65"/>
      <c r="AQ57" s="65"/>
      <c r="AR57" s="65"/>
      <c r="AS57" s="65"/>
      <c r="AT57" s="65"/>
      <c r="AU57" s="65"/>
      <c r="AV57" s="65"/>
      <c r="AW57" s="65"/>
      <c r="AX57" s="65"/>
      <c r="AY57" s="65"/>
      <c r="AZ57" s="65"/>
      <c r="BA57" s="65"/>
      <c r="BB57" s="65"/>
      <c r="BC57" s="65"/>
    </row>
    <row r="58" spans="1:55" ht="19.5" hidden="1" customHeight="1" x14ac:dyDescent="0.15">
      <c r="B58" s="231"/>
      <c r="C58" s="231"/>
      <c r="D58" s="231"/>
      <c r="E58" s="322" t="s">
        <v>454</v>
      </c>
      <c r="F58" s="322"/>
      <c r="G58" s="323"/>
      <c r="H58" s="324"/>
      <c r="I58" s="325"/>
      <c r="J58" s="325"/>
      <c r="K58" s="325"/>
      <c r="L58" s="325"/>
      <c r="M58" s="326"/>
      <c r="N58" s="195"/>
      <c r="AD58" s="19"/>
      <c r="AE58" s="19"/>
      <c r="AF58" s="19"/>
      <c r="AG58" s="19"/>
      <c r="AH58" s="19"/>
      <c r="AI58" s="19"/>
      <c r="AJ58" s="19"/>
      <c r="AK58" s="19"/>
      <c r="AL58" s="19"/>
      <c r="AM58" s="19"/>
      <c r="AN58" s="24"/>
      <c r="AO58" s="65"/>
      <c r="AP58" s="65"/>
      <c r="AQ58" s="65"/>
      <c r="AR58" s="65"/>
      <c r="AS58" s="65"/>
      <c r="AT58" s="65"/>
      <c r="AU58" s="65"/>
      <c r="AV58" s="65"/>
      <c r="AW58" s="65"/>
      <c r="AX58" s="65"/>
      <c r="AY58" s="65"/>
      <c r="AZ58" s="65"/>
      <c r="BA58" s="65"/>
      <c r="BB58" s="65"/>
      <c r="BC58" s="65"/>
    </row>
    <row r="59" spans="1:55" ht="15" hidden="1" customHeight="1" x14ac:dyDescent="0.15">
      <c r="B59" s="195"/>
      <c r="C59" s="195"/>
      <c r="D59" s="195"/>
      <c r="E59" s="195"/>
      <c r="F59" s="195"/>
      <c r="G59" s="195"/>
      <c r="H59" s="195"/>
      <c r="I59" s="195"/>
      <c r="J59" s="195"/>
      <c r="K59" s="195"/>
      <c r="L59" s="195"/>
      <c r="M59" s="195"/>
      <c r="N59" s="195"/>
      <c r="AD59" s="19"/>
      <c r="AE59" s="19"/>
      <c r="AF59" s="19"/>
      <c r="AG59" s="19"/>
      <c r="AH59" s="19"/>
      <c r="AI59" s="19"/>
      <c r="AJ59" s="19"/>
      <c r="AK59" s="19"/>
      <c r="AL59" s="19"/>
      <c r="AM59" s="19"/>
      <c r="AN59" s="24"/>
      <c r="AO59" s="65"/>
      <c r="AP59" s="65"/>
      <c r="AQ59" s="65"/>
      <c r="AR59" s="65"/>
      <c r="AS59" s="65"/>
      <c r="AT59" s="65"/>
      <c r="AU59" s="65"/>
      <c r="AV59" s="65"/>
      <c r="AW59" s="65"/>
      <c r="AX59" s="65"/>
      <c r="AY59" s="65"/>
      <c r="AZ59" s="65"/>
      <c r="BA59" s="65"/>
      <c r="BB59" s="65"/>
      <c r="BC59" s="65"/>
    </row>
    <row r="60" spans="1:55" ht="6" customHeight="1" x14ac:dyDescent="0.15">
      <c r="AD60" s="19"/>
      <c r="AE60" s="19"/>
      <c r="AF60" s="19"/>
      <c r="AG60" s="19"/>
      <c r="AH60" s="19"/>
      <c r="AI60" s="19"/>
      <c r="AJ60" s="19"/>
      <c r="AK60" s="19"/>
      <c r="AL60" s="19"/>
      <c r="AM60" s="19"/>
      <c r="AN60" s="24"/>
      <c r="AO60" s="65"/>
      <c r="AP60" s="65"/>
      <c r="AQ60" s="65"/>
      <c r="AR60" s="65"/>
      <c r="AS60" s="65"/>
      <c r="AT60" s="65"/>
      <c r="AU60" s="65"/>
      <c r="AV60" s="65"/>
      <c r="AW60" s="65"/>
      <c r="AX60" s="65"/>
      <c r="AY60" s="65"/>
      <c r="AZ60" s="65"/>
      <c r="BA60" s="65"/>
      <c r="BB60" s="65"/>
      <c r="BC60" s="65"/>
    </row>
    <row r="61" spans="1:55" ht="30" customHeight="1" x14ac:dyDescent="0.15">
      <c r="A61" s="6"/>
      <c r="B61" s="341"/>
      <c r="C61" s="341"/>
      <c r="D61" s="341"/>
      <c r="E61" s="341"/>
      <c r="F61" s="341"/>
      <c r="G61" s="341"/>
      <c r="H61" s="341"/>
      <c r="I61" s="341"/>
      <c r="J61" s="341"/>
      <c r="K61" s="341"/>
      <c r="L61" s="341"/>
      <c r="M61" s="341"/>
      <c r="N61" s="341"/>
      <c r="AD61" s="19"/>
      <c r="AE61" s="19"/>
      <c r="AF61" s="19"/>
      <c r="AG61" s="19"/>
      <c r="AH61" s="19"/>
      <c r="AI61" s="19"/>
      <c r="AJ61" s="19"/>
      <c r="AK61" s="19"/>
      <c r="AL61" s="19"/>
      <c r="AM61" s="19"/>
      <c r="AN61" s="24"/>
      <c r="AO61" s="65"/>
      <c r="AP61" s="65"/>
      <c r="AQ61" s="65"/>
      <c r="AR61" s="65"/>
      <c r="AS61" s="65"/>
      <c r="AT61" s="65"/>
      <c r="AU61" s="65"/>
      <c r="AV61" s="65"/>
      <c r="AW61" s="65"/>
      <c r="AX61" s="65"/>
      <c r="AY61" s="65"/>
      <c r="AZ61" s="65"/>
      <c r="BA61" s="65"/>
      <c r="BB61" s="65"/>
      <c r="BC61" s="65"/>
    </row>
    <row r="62" spans="1:55" ht="29.25" customHeight="1" thickBot="1" x14ac:dyDescent="0.2">
      <c r="B62" s="334" t="s">
        <v>7</v>
      </c>
      <c r="C62" s="334"/>
      <c r="D62" s="334"/>
      <c r="E62" s="334"/>
      <c r="F62" s="334"/>
      <c r="G62" s="334"/>
      <c r="H62" s="334"/>
      <c r="I62" s="334"/>
      <c r="J62" s="334"/>
      <c r="K62" s="334"/>
      <c r="L62" s="334"/>
      <c r="M62" s="334"/>
      <c r="N62" s="334"/>
      <c r="AD62" s="19"/>
      <c r="AE62" s="19"/>
      <c r="AF62" s="19"/>
      <c r="AG62" s="19"/>
      <c r="AH62" s="19"/>
      <c r="AI62" s="19"/>
      <c r="AJ62" s="19"/>
      <c r="AK62" s="19"/>
      <c r="AL62" s="19"/>
      <c r="AM62" s="19"/>
      <c r="AN62" s="24"/>
      <c r="AO62" s="65"/>
      <c r="AP62" s="65"/>
      <c r="AQ62" s="65"/>
      <c r="AR62" s="65"/>
      <c r="AS62" s="65"/>
      <c r="AT62" s="65"/>
      <c r="AU62" s="65"/>
      <c r="AV62" s="65"/>
      <c r="AW62" s="65"/>
      <c r="AX62" s="65"/>
      <c r="AY62" s="65"/>
      <c r="AZ62" s="65"/>
      <c r="BA62" s="65"/>
      <c r="BB62" s="65"/>
      <c r="BC62" s="65"/>
    </row>
    <row r="63" spans="1:55" ht="5.25" customHeight="1" x14ac:dyDescent="0.15">
      <c r="B63" s="167"/>
      <c r="C63" s="167"/>
      <c r="D63" s="167"/>
      <c r="E63" s="167"/>
      <c r="F63" s="167"/>
      <c r="G63" s="167"/>
      <c r="H63" s="167"/>
      <c r="I63" s="167"/>
      <c r="J63" s="167"/>
      <c r="K63" s="167"/>
      <c r="L63" s="167"/>
      <c r="M63" s="167"/>
      <c r="N63" s="167"/>
      <c r="AD63" s="19"/>
      <c r="AE63" s="19"/>
      <c r="AF63" s="19"/>
      <c r="AG63" s="19"/>
      <c r="AH63" s="19"/>
      <c r="AI63" s="19"/>
      <c r="AJ63" s="19"/>
      <c r="AK63" s="19"/>
      <c r="AL63" s="19"/>
      <c r="AM63" s="19"/>
      <c r="AN63" s="24"/>
      <c r="AO63" s="65"/>
      <c r="AP63" s="65"/>
      <c r="AQ63" s="65"/>
      <c r="AR63" s="65"/>
      <c r="AS63" s="65"/>
      <c r="AT63" s="65"/>
      <c r="AU63" s="65"/>
      <c r="AV63" s="65"/>
      <c r="AW63" s="65"/>
      <c r="AX63" s="65"/>
      <c r="AY63" s="65"/>
      <c r="AZ63" s="65"/>
      <c r="BA63" s="65"/>
      <c r="BB63" s="65"/>
      <c r="BC63" s="65"/>
    </row>
    <row r="64" spans="1:55" ht="61" customHeight="1" x14ac:dyDescent="0.15">
      <c r="B64" s="336" t="s">
        <v>793</v>
      </c>
      <c r="C64" s="336"/>
      <c r="D64" s="336"/>
      <c r="E64" s="336"/>
      <c r="F64" s="336"/>
      <c r="G64" s="336"/>
      <c r="H64" s="336"/>
      <c r="I64" s="336"/>
      <c r="J64" s="336"/>
      <c r="K64" s="336"/>
      <c r="L64" s="336"/>
      <c r="M64" s="336"/>
      <c r="N64" s="336"/>
      <c r="AD64" s="19"/>
      <c r="AE64" s="19"/>
      <c r="AF64" s="19"/>
      <c r="AG64" s="19"/>
      <c r="AH64" s="19"/>
      <c r="AI64" s="19"/>
      <c r="AJ64" s="19"/>
      <c r="AK64" s="19"/>
      <c r="AL64" s="19"/>
      <c r="AM64" s="19"/>
      <c r="AN64" s="24"/>
      <c r="AO64" s="65"/>
      <c r="AP64" s="65"/>
      <c r="AQ64" s="65"/>
      <c r="AR64" s="65"/>
      <c r="AS64" s="65"/>
      <c r="AT64" s="65"/>
      <c r="AU64" s="65"/>
      <c r="AV64" s="65"/>
      <c r="AW64" s="65"/>
      <c r="AX64" s="65"/>
      <c r="AY64" s="65"/>
      <c r="AZ64" s="65"/>
      <c r="BA64" s="65"/>
      <c r="BB64" s="65"/>
      <c r="BC64" s="65"/>
    </row>
    <row r="65" spans="1:55" s="5" customFormat="1" ht="147" hidden="1" customHeight="1" x14ac:dyDescent="0.15">
      <c r="A65"/>
      <c r="B65" s="336" t="s">
        <v>545</v>
      </c>
      <c r="C65" s="336"/>
      <c r="D65" s="336"/>
      <c r="E65" s="336"/>
      <c r="F65" s="336"/>
      <c r="G65" s="336"/>
      <c r="H65" s="336"/>
      <c r="I65" s="336"/>
      <c r="J65" s="336"/>
      <c r="K65" s="336"/>
      <c r="L65" s="336"/>
      <c r="M65" s="336"/>
      <c r="N65" s="336"/>
      <c r="O65" s="56"/>
      <c r="P65" s="56"/>
      <c r="Q65" s="56"/>
      <c r="R65" s="19"/>
      <c r="S65" s="19"/>
      <c r="T65" s="55"/>
      <c r="U65" s="19"/>
      <c r="V65" s="55"/>
      <c r="W65" s="55"/>
      <c r="X65" s="19"/>
      <c r="Y65" s="19"/>
      <c r="Z65" s="55"/>
      <c r="AA65" s="19"/>
      <c r="AB65" s="55"/>
      <c r="AC65" s="19"/>
      <c r="AD65" s="19"/>
      <c r="AE65" s="55"/>
      <c r="AF65" s="19"/>
      <c r="AG65" s="55"/>
      <c r="AH65" s="19"/>
      <c r="AI65" s="19"/>
      <c r="AJ65" s="55"/>
      <c r="AK65" s="19"/>
      <c r="AL65" s="55"/>
      <c r="AM65" s="55"/>
      <c r="AN65" s="118"/>
      <c r="AO65" s="59"/>
      <c r="AP65" s="59"/>
      <c r="AQ65" s="59"/>
      <c r="AR65" s="59"/>
      <c r="AS65" s="59"/>
      <c r="AT65" s="59"/>
      <c r="AU65" s="59"/>
      <c r="AV65" s="59"/>
      <c r="AW65" s="59"/>
      <c r="AX65" s="59"/>
      <c r="AY65" s="59"/>
      <c r="AZ65" s="59"/>
      <c r="BA65" s="59"/>
      <c r="BB65" s="59"/>
      <c r="BC65" s="59"/>
    </row>
    <row r="66" spans="1:55" x14ac:dyDescent="0.15">
      <c r="E66" s="4"/>
      <c r="F66" s="4"/>
      <c r="G66" s="4"/>
      <c r="H66" s="4"/>
      <c r="I66" s="4"/>
      <c r="J66" s="4"/>
      <c r="AD66" s="19"/>
      <c r="AE66" s="19"/>
      <c r="AF66" s="19"/>
      <c r="AG66" s="19"/>
      <c r="AH66" s="19"/>
      <c r="AI66" s="19"/>
      <c r="AJ66" s="19"/>
      <c r="AK66" s="19"/>
      <c r="AL66" s="19"/>
      <c r="AM66" s="19"/>
      <c r="AN66" s="24"/>
      <c r="AO66" s="65"/>
      <c r="AP66" s="65"/>
      <c r="AQ66" s="65"/>
      <c r="AR66" s="65"/>
      <c r="AS66" s="65"/>
      <c r="AT66" s="65"/>
      <c r="AU66" s="65"/>
      <c r="AV66" s="65"/>
      <c r="AW66" s="65"/>
      <c r="AX66" s="65"/>
      <c r="AY66" s="65"/>
      <c r="AZ66" s="65"/>
      <c r="BA66" s="65"/>
      <c r="BB66" s="65"/>
      <c r="BC66" s="65"/>
    </row>
    <row r="67" spans="1:55" ht="26.25" customHeight="1" x14ac:dyDescent="0.15">
      <c r="B67" s="238"/>
      <c r="C67" s="338" t="s">
        <v>124</v>
      </c>
      <c r="D67" s="339"/>
      <c r="E67" s="339"/>
      <c r="AD67" s="19"/>
      <c r="AE67" s="19"/>
      <c r="AF67" s="19"/>
      <c r="AG67" s="19"/>
      <c r="AH67" s="19"/>
      <c r="AI67" s="19"/>
      <c r="AJ67" s="19"/>
      <c r="AK67" s="19"/>
      <c r="AL67" s="19"/>
      <c r="AM67" s="19"/>
      <c r="AN67" s="24"/>
      <c r="AO67" s="65"/>
      <c r="AP67" s="65"/>
      <c r="AQ67" s="65"/>
      <c r="AR67" s="65"/>
      <c r="AS67" s="65"/>
      <c r="AT67" s="65"/>
      <c r="AU67" s="65"/>
      <c r="AV67" s="65"/>
      <c r="AW67" s="65"/>
      <c r="AX67" s="65"/>
      <c r="AY67" s="65"/>
      <c r="AZ67" s="65"/>
      <c r="BA67" s="65"/>
      <c r="BB67" s="65"/>
      <c r="BC67" s="65"/>
    </row>
    <row r="68" spans="1:55" ht="30" customHeight="1" x14ac:dyDescent="0.15">
      <c r="P68" s="242"/>
      <c r="AD68" s="19"/>
      <c r="AE68" s="19"/>
      <c r="AF68" s="19"/>
      <c r="AG68" s="19"/>
      <c r="AH68" s="19"/>
      <c r="AI68" s="19"/>
      <c r="AJ68" s="19"/>
      <c r="AK68" s="19"/>
      <c r="AL68" s="19"/>
      <c r="AM68" s="19"/>
      <c r="AN68" s="24"/>
      <c r="AO68" s="65"/>
      <c r="AP68" s="65"/>
      <c r="AQ68" s="65"/>
      <c r="AR68" s="65"/>
      <c r="AS68" s="65"/>
      <c r="AT68" s="65"/>
      <c r="AU68" s="65"/>
      <c r="AV68" s="65"/>
      <c r="AW68" s="65"/>
      <c r="AX68" s="65"/>
      <c r="AY68" s="65"/>
      <c r="AZ68" s="65"/>
      <c r="BA68" s="65"/>
      <c r="BB68" s="65"/>
      <c r="BC68" s="65"/>
    </row>
    <row r="69" spans="1:55" ht="30" x14ac:dyDescent="0.15">
      <c r="A69" s="5"/>
      <c r="B69" s="239" t="s">
        <v>0</v>
      </c>
      <c r="C69" s="241" t="s">
        <v>456</v>
      </c>
      <c r="D69" s="240" t="s">
        <v>8</v>
      </c>
      <c r="E69" s="5"/>
      <c r="F69" s="5"/>
      <c r="G69" s="5"/>
      <c r="H69" s="5"/>
      <c r="I69" s="5"/>
      <c r="J69" s="5"/>
      <c r="K69" s="5"/>
      <c r="L69" s="5"/>
      <c r="M69" s="5"/>
      <c r="N69" s="5"/>
      <c r="AD69" s="19"/>
      <c r="AE69" s="19"/>
      <c r="AF69" s="19"/>
      <c r="AG69" s="19"/>
      <c r="AH69" s="19"/>
      <c r="AI69" s="19"/>
      <c r="AJ69" s="19"/>
      <c r="AK69" s="19"/>
      <c r="AL69" s="19"/>
      <c r="AM69" s="19"/>
      <c r="AN69" s="24"/>
      <c r="AO69" s="65"/>
      <c r="AP69" s="65"/>
      <c r="AQ69" s="65"/>
      <c r="AR69" s="65"/>
      <c r="AS69" s="65"/>
      <c r="AT69" s="65"/>
      <c r="AU69" s="65"/>
      <c r="AV69" s="65"/>
      <c r="AW69" s="65"/>
      <c r="AX69" s="65"/>
      <c r="AY69" s="65"/>
      <c r="AZ69" s="65"/>
      <c r="BA69" s="65"/>
      <c r="BB69" s="65"/>
      <c r="BC69" s="65"/>
    </row>
    <row r="70" spans="1:55" x14ac:dyDescent="0.15">
      <c r="AD70" s="19"/>
      <c r="AE70" s="19"/>
      <c r="AF70" s="19"/>
      <c r="AG70" s="19"/>
      <c r="AH70" s="19"/>
      <c r="AI70" s="19"/>
      <c r="AJ70" s="19"/>
      <c r="AK70" s="19"/>
      <c r="AL70" s="19"/>
      <c r="AM70" s="19"/>
      <c r="AN70" s="24"/>
      <c r="AO70" s="65"/>
      <c r="AP70" s="65"/>
      <c r="AQ70" s="65"/>
      <c r="AR70" s="65"/>
      <c r="AS70" s="65"/>
      <c r="AT70" s="65"/>
      <c r="AU70" s="65"/>
      <c r="AV70" s="65"/>
      <c r="AW70" s="65"/>
      <c r="AX70" s="65"/>
      <c r="AY70" s="65"/>
      <c r="AZ70" s="65"/>
      <c r="BA70" s="65"/>
      <c r="BB70" s="65"/>
      <c r="BC70" s="65"/>
    </row>
    <row r="71" spans="1:55" ht="26.25" customHeight="1" x14ac:dyDescent="0.15">
      <c r="B71" s="337" t="s">
        <v>9</v>
      </c>
      <c r="C71" s="337"/>
      <c r="D71" s="337"/>
      <c r="E71" s="337"/>
      <c r="F71" s="337"/>
      <c r="G71" s="337"/>
      <c r="H71" s="337"/>
      <c r="I71" s="337"/>
      <c r="J71" s="337"/>
      <c r="K71" s="337"/>
      <c r="L71" s="337"/>
      <c r="M71" s="337"/>
      <c r="N71" s="337"/>
      <c r="AD71" s="19"/>
      <c r="AE71" s="19"/>
      <c r="AF71" s="19"/>
      <c r="AG71" s="19"/>
      <c r="AH71" s="19"/>
      <c r="AI71" s="19"/>
      <c r="AJ71" s="19"/>
      <c r="AK71" s="19"/>
      <c r="AL71" s="19"/>
      <c r="AM71" s="19"/>
      <c r="AN71" s="24"/>
      <c r="AO71" s="65"/>
      <c r="AP71" s="65"/>
      <c r="AQ71" s="65"/>
      <c r="AR71" s="65"/>
      <c r="AS71" s="65"/>
      <c r="AT71" s="65"/>
      <c r="AU71" s="65"/>
      <c r="AV71" s="65"/>
      <c r="AW71" s="65"/>
      <c r="AX71" s="65"/>
      <c r="AY71" s="65"/>
      <c r="AZ71" s="65"/>
      <c r="BA71" s="65"/>
      <c r="BB71" s="65"/>
      <c r="BC71" s="65"/>
    </row>
    <row r="72" spans="1:55" ht="65.25" customHeight="1" x14ac:dyDescent="0.15">
      <c r="B72" s="332" t="s">
        <v>729</v>
      </c>
      <c r="C72" s="333"/>
      <c r="D72" s="333"/>
      <c r="E72" s="333"/>
      <c r="F72" s="333"/>
      <c r="G72" s="333"/>
      <c r="H72" s="333"/>
      <c r="I72" s="333"/>
      <c r="J72" s="333"/>
      <c r="K72" s="333"/>
      <c r="L72" s="333"/>
      <c r="M72" s="333"/>
      <c r="N72" s="333"/>
      <c r="AD72" s="19"/>
      <c r="AE72" s="19"/>
      <c r="AF72" s="19"/>
      <c r="AG72" s="19"/>
      <c r="AH72" s="19"/>
      <c r="AI72" s="19"/>
      <c r="AJ72" s="19"/>
      <c r="AK72" s="19"/>
      <c r="AL72" s="19"/>
      <c r="AM72" s="19"/>
      <c r="AN72" s="24"/>
      <c r="AO72" s="65"/>
      <c r="AP72" s="65"/>
      <c r="AQ72" s="65"/>
      <c r="AR72" s="65"/>
      <c r="AS72" s="65"/>
      <c r="AT72" s="65"/>
      <c r="AU72" s="65"/>
      <c r="AV72" s="65"/>
      <c r="AW72" s="65"/>
      <c r="AX72" s="65"/>
      <c r="AY72" s="65"/>
      <c r="AZ72" s="65"/>
      <c r="BA72" s="65"/>
      <c r="BB72" s="65"/>
      <c r="BC72" s="65"/>
    </row>
    <row r="73" spans="1:55" x14ac:dyDescent="0.15">
      <c r="B73" s="331"/>
      <c r="C73" s="331"/>
      <c r="D73" s="331"/>
      <c r="AD73" s="19"/>
      <c r="AE73" s="19"/>
      <c r="AF73" s="19"/>
      <c r="AG73" s="19"/>
      <c r="AH73" s="19"/>
      <c r="AI73" s="19"/>
      <c r="AJ73" s="19"/>
      <c r="AK73" s="19"/>
      <c r="AL73" s="19"/>
      <c r="AM73" s="19"/>
      <c r="AN73" s="24"/>
      <c r="AO73" s="65"/>
      <c r="AP73" s="65"/>
      <c r="AQ73" s="65"/>
      <c r="AR73" s="65"/>
      <c r="AS73" s="65"/>
      <c r="AT73" s="65"/>
      <c r="AU73" s="65"/>
      <c r="AV73" s="65"/>
      <c r="AW73" s="65"/>
      <c r="AX73" s="65"/>
      <c r="AY73" s="65"/>
      <c r="AZ73" s="65"/>
      <c r="BA73" s="65"/>
      <c r="BB73" s="65"/>
      <c r="BC73" s="65"/>
    </row>
    <row r="74" spans="1:55" x14ac:dyDescent="0.15">
      <c r="AD74" s="19"/>
      <c r="AE74" s="19"/>
      <c r="AF74" s="19"/>
      <c r="AG74" s="19"/>
      <c r="AH74" s="19"/>
      <c r="AI74" s="19"/>
      <c r="AJ74" s="19"/>
      <c r="AK74" s="19"/>
      <c r="AL74" s="19"/>
      <c r="AM74" s="19"/>
      <c r="AN74" s="24"/>
      <c r="AO74" s="65"/>
      <c r="AP74" s="65"/>
      <c r="AQ74" s="65"/>
      <c r="AR74" s="65"/>
      <c r="AS74" s="65"/>
      <c r="AT74" s="65"/>
      <c r="AU74" s="65"/>
      <c r="AV74" s="65"/>
      <c r="AW74" s="65"/>
      <c r="AX74" s="65"/>
      <c r="AY74" s="65"/>
      <c r="AZ74" s="65"/>
      <c r="BA74" s="65"/>
      <c r="BB74" s="65"/>
      <c r="BC74" s="65"/>
    </row>
    <row r="75" spans="1:55" x14ac:dyDescent="0.15">
      <c r="AD75" s="19"/>
      <c r="AE75" s="19"/>
      <c r="AF75" s="19"/>
      <c r="AG75" s="19"/>
      <c r="AH75" s="19"/>
      <c r="AI75" s="19"/>
      <c r="AJ75" s="19"/>
      <c r="AK75" s="19"/>
      <c r="AL75" s="19"/>
      <c r="AM75" s="19"/>
      <c r="AN75" s="24"/>
      <c r="AO75" s="65"/>
      <c r="AP75" s="65"/>
      <c r="AQ75" s="65"/>
      <c r="AR75" s="65"/>
      <c r="AS75" s="65"/>
      <c r="AT75" s="65"/>
      <c r="AU75" s="65"/>
      <c r="AV75" s="65"/>
      <c r="AW75" s="65"/>
      <c r="AX75" s="65"/>
      <c r="AY75" s="65"/>
      <c r="AZ75" s="65"/>
      <c r="BA75" s="65"/>
      <c r="BB75" s="65"/>
      <c r="BC75" s="65"/>
    </row>
    <row r="76" spans="1:55" x14ac:dyDescent="0.15">
      <c r="AD76" s="19"/>
      <c r="AE76" s="19"/>
      <c r="AF76" s="19"/>
      <c r="AG76" s="19"/>
      <c r="AH76" s="19"/>
      <c r="AI76" s="19"/>
      <c r="AJ76" s="19"/>
      <c r="AK76" s="19"/>
      <c r="AL76" s="19"/>
      <c r="AM76" s="19"/>
      <c r="AN76" s="24"/>
      <c r="AO76" s="65"/>
      <c r="AP76" s="65"/>
      <c r="AQ76" s="65"/>
      <c r="AR76" s="65"/>
      <c r="AS76" s="65"/>
      <c r="AT76" s="65"/>
      <c r="AU76" s="65"/>
      <c r="AV76" s="65"/>
      <c r="AW76" s="65"/>
      <c r="AX76" s="65"/>
      <c r="AY76" s="65"/>
      <c r="AZ76" s="65"/>
      <c r="BA76" s="65"/>
      <c r="BB76" s="65"/>
      <c r="BC76" s="65"/>
    </row>
    <row r="77" spans="1:55" x14ac:dyDescent="0.15">
      <c r="AD77" s="19"/>
      <c r="AE77" s="19"/>
      <c r="AF77" s="19"/>
      <c r="AG77" s="19"/>
      <c r="AH77" s="19"/>
      <c r="AI77" s="19"/>
      <c r="AJ77" s="19"/>
      <c r="AK77" s="19"/>
      <c r="AL77" s="19"/>
      <c r="AM77" s="19"/>
      <c r="AN77" s="24"/>
      <c r="AO77" s="65"/>
      <c r="AP77" s="65"/>
      <c r="AQ77" s="65"/>
      <c r="AR77" s="65"/>
      <c r="AS77" s="65"/>
      <c r="AT77" s="65"/>
      <c r="AU77" s="65"/>
      <c r="AV77" s="65"/>
      <c r="AW77" s="65"/>
      <c r="AX77" s="65"/>
      <c r="AY77" s="65"/>
      <c r="AZ77" s="65"/>
      <c r="BA77" s="65"/>
      <c r="BB77" s="65"/>
      <c r="BC77" s="65"/>
    </row>
    <row r="78" spans="1:55" x14ac:dyDescent="0.15">
      <c r="AD78" s="19"/>
      <c r="AE78" s="19"/>
      <c r="AF78" s="19"/>
      <c r="AG78" s="19"/>
      <c r="AH78" s="19"/>
      <c r="AI78" s="19"/>
      <c r="AJ78" s="19"/>
      <c r="AK78" s="19"/>
      <c r="AL78" s="19"/>
      <c r="AM78" s="19"/>
      <c r="AN78" s="24"/>
      <c r="AO78" s="41"/>
    </row>
    <row r="79" spans="1:55" x14ac:dyDescent="0.15">
      <c r="AD79" s="19"/>
      <c r="AE79" s="19"/>
      <c r="AF79" s="19"/>
      <c r="AG79" s="19"/>
      <c r="AH79" s="19"/>
      <c r="AI79" s="19"/>
      <c r="AJ79" s="19"/>
      <c r="AK79" s="19"/>
      <c r="AL79" s="19"/>
      <c r="AM79" s="19"/>
      <c r="AN79" s="24"/>
      <c r="AO79" s="41"/>
    </row>
    <row r="80" spans="1:55" x14ac:dyDescent="0.15">
      <c r="AD80" s="19"/>
      <c r="AE80" s="19"/>
      <c r="AF80" s="19"/>
      <c r="AG80" s="19"/>
      <c r="AH80" s="19"/>
      <c r="AI80" s="19"/>
      <c r="AJ80" s="19"/>
      <c r="AK80" s="19"/>
      <c r="AL80" s="19"/>
      <c r="AM80" s="19"/>
      <c r="AN80" s="24"/>
      <c r="AO80" s="41"/>
    </row>
    <row r="81" spans="30:41" x14ac:dyDescent="0.15">
      <c r="AD81" s="19"/>
      <c r="AE81" s="19"/>
      <c r="AF81" s="19"/>
      <c r="AG81" s="19"/>
      <c r="AH81" s="19"/>
      <c r="AI81" s="19"/>
      <c r="AJ81" s="19"/>
      <c r="AK81" s="19"/>
      <c r="AL81" s="19"/>
      <c r="AM81" s="19"/>
      <c r="AN81" s="24"/>
      <c r="AO81" s="41"/>
    </row>
    <row r="82" spans="30:41" x14ac:dyDescent="0.15">
      <c r="AD82" s="19"/>
      <c r="AE82" s="19"/>
      <c r="AF82" s="19"/>
      <c r="AG82" s="19"/>
      <c r="AH82" s="19"/>
      <c r="AI82" s="19"/>
      <c r="AJ82" s="19"/>
      <c r="AK82" s="19"/>
      <c r="AL82" s="19"/>
      <c r="AM82" s="19"/>
      <c r="AN82" s="24"/>
      <c r="AO82" s="41"/>
    </row>
    <row r="83" spans="30:41" x14ac:dyDescent="0.15">
      <c r="AD83" s="19"/>
      <c r="AE83" s="19"/>
      <c r="AF83" s="19"/>
      <c r="AG83" s="19"/>
      <c r="AH83" s="19"/>
      <c r="AI83" s="19"/>
      <c r="AJ83" s="19"/>
      <c r="AK83" s="19"/>
      <c r="AL83" s="19"/>
      <c r="AM83" s="19"/>
      <c r="AN83" s="24"/>
      <c r="AO83" s="41"/>
    </row>
    <row r="84" spans="30:41" x14ac:dyDescent="0.15">
      <c r="AD84" s="19"/>
      <c r="AE84" s="19"/>
      <c r="AF84" s="19"/>
      <c r="AG84" s="19"/>
      <c r="AH84" s="19"/>
      <c r="AI84" s="19"/>
      <c r="AJ84" s="19"/>
      <c r="AK84" s="19"/>
      <c r="AL84" s="19"/>
      <c r="AM84" s="19"/>
      <c r="AN84" s="24"/>
      <c r="AO84" s="41"/>
    </row>
    <row r="85" spans="30:41" x14ac:dyDescent="0.15">
      <c r="AD85" s="19"/>
      <c r="AE85" s="19"/>
      <c r="AF85" s="19"/>
      <c r="AG85" s="19"/>
      <c r="AH85" s="19"/>
      <c r="AI85" s="19"/>
      <c r="AJ85" s="19"/>
      <c r="AK85" s="19"/>
      <c r="AL85" s="19"/>
      <c r="AM85" s="19"/>
      <c r="AN85" s="24"/>
      <c r="AO85" s="41"/>
    </row>
    <row r="86" spans="30:41" x14ac:dyDescent="0.15">
      <c r="AD86" s="19"/>
      <c r="AE86" s="19"/>
      <c r="AF86" s="19"/>
      <c r="AG86" s="19"/>
      <c r="AH86" s="19"/>
      <c r="AI86" s="19"/>
      <c r="AJ86" s="19"/>
      <c r="AK86" s="19"/>
      <c r="AL86" s="19"/>
      <c r="AM86" s="19"/>
      <c r="AN86" s="24"/>
      <c r="AO86" s="41"/>
    </row>
    <row r="87" spans="30:41" x14ac:dyDescent="0.15">
      <c r="AD87" s="19"/>
      <c r="AE87" s="19"/>
      <c r="AF87" s="19"/>
      <c r="AG87" s="19"/>
      <c r="AH87" s="19"/>
      <c r="AI87" s="19"/>
      <c r="AJ87" s="19"/>
      <c r="AK87" s="19"/>
      <c r="AL87" s="19"/>
      <c r="AM87" s="19"/>
      <c r="AN87" s="24"/>
      <c r="AO87" s="41"/>
    </row>
    <row r="88" spans="30:41" x14ac:dyDescent="0.15">
      <c r="AD88" s="19"/>
      <c r="AE88" s="19"/>
      <c r="AF88" s="19"/>
      <c r="AG88" s="19"/>
      <c r="AH88" s="19"/>
      <c r="AI88" s="19"/>
      <c r="AJ88" s="19"/>
      <c r="AK88" s="19"/>
      <c r="AL88" s="19"/>
      <c r="AM88" s="19"/>
      <c r="AN88" s="24"/>
      <c r="AO88" s="41"/>
    </row>
    <row r="89" spans="30:41" x14ac:dyDescent="0.15">
      <c r="AD89" s="19"/>
      <c r="AE89" s="19"/>
      <c r="AF89" s="19"/>
      <c r="AG89" s="19"/>
      <c r="AH89" s="19"/>
      <c r="AI89" s="19"/>
      <c r="AJ89" s="19"/>
      <c r="AK89" s="19"/>
      <c r="AL89" s="19"/>
      <c r="AM89" s="19"/>
      <c r="AN89" s="24"/>
      <c r="AO89" s="41"/>
    </row>
    <row r="90" spans="30:41" x14ac:dyDescent="0.15">
      <c r="AD90" s="19"/>
      <c r="AE90" s="19"/>
      <c r="AF90" s="19"/>
      <c r="AG90" s="19"/>
      <c r="AH90" s="19"/>
      <c r="AI90" s="19"/>
      <c r="AJ90" s="19"/>
      <c r="AK90" s="19"/>
      <c r="AL90" s="19"/>
      <c r="AM90" s="19"/>
      <c r="AN90" s="24"/>
      <c r="AO90" s="41"/>
    </row>
    <row r="91" spans="30:41" x14ac:dyDescent="0.15">
      <c r="AD91" s="19"/>
      <c r="AE91" s="19"/>
      <c r="AF91" s="19"/>
      <c r="AG91" s="19"/>
      <c r="AH91" s="19"/>
      <c r="AI91" s="19"/>
      <c r="AJ91" s="19"/>
      <c r="AK91" s="19"/>
      <c r="AL91" s="19"/>
      <c r="AM91" s="19"/>
      <c r="AN91" s="24"/>
      <c r="AO91" s="41"/>
    </row>
    <row r="92" spans="30:41" x14ac:dyDescent="0.15">
      <c r="AD92" s="19"/>
      <c r="AE92" s="19"/>
      <c r="AF92" s="19"/>
      <c r="AG92" s="19"/>
      <c r="AH92" s="19"/>
      <c r="AI92" s="19"/>
      <c r="AJ92" s="19"/>
      <c r="AK92" s="19"/>
      <c r="AL92" s="19"/>
      <c r="AM92" s="19"/>
      <c r="AN92" s="24"/>
      <c r="AO92" s="41"/>
    </row>
    <row r="93" spans="30:41" x14ac:dyDescent="0.15">
      <c r="AD93" s="19"/>
      <c r="AE93" s="19"/>
      <c r="AF93" s="19"/>
      <c r="AG93" s="19"/>
      <c r="AH93" s="19"/>
      <c r="AI93" s="19"/>
      <c r="AJ93" s="19"/>
      <c r="AK93" s="19"/>
      <c r="AL93" s="19"/>
      <c r="AM93" s="19"/>
      <c r="AN93" s="24"/>
      <c r="AO93" s="41"/>
    </row>
    <row r="94" spans="30:41" x14ac:dyDescent="0.15">
      <c r="AD94" s="19"/>
      <c r="AE94" s="19"/>
      <c r="AF94" s="19"/>
      <c r="AG94" s="19"/>
      <c r="AH94" s="19"/>
      <c r="AI94" s="19"/>
      <c r="AJ94" s="19"/>
      <c r="AK94" s="19"/>
      <c r="AL94" s="19"/>
      <c r="AM94" s="19"/>
      <c r="AN94" s="24"/>
      <c r="AO94" s="41"/>
    </row>
    <row r="95" spans="30:41" x14ac:dyDescent="0.15">
      <c r="AD95" s="19"/>
      <c r="AE95" s="19"/>
      <c r="AF95" s="19"/>
      <c r="AG95" s="19"/>
      <c r="AH95" s="19"/>
      <c r="AI95" s="19"/>
      <c r="AJ95" s="19"/>
      <c r="AK95" s="19"/>
      <c r="AL95" s="19"/>
      <c r="AM95" s="19"/>
      <c r="AN95" s="24"/>
      <c r="AO95" s="41"/>
    </row>
    <row r="96" spans="30:41" x14ac:dyDescent="0.15">
      <c r="AD96" s="19"/>
      <c r="AE96" s="19"/>
      <c r="AF96" s="19"/>
      <c r="AG96" s="19"/>
      <c r="AH96" s="19"/>
      <c r="AI96" s="19"/>
      <c r="AJ96" s="19"/>
      <c r="AK96" s="19"/>
      <c r="AL96" s="19"/>
      <c r="AM96" s="19"/>
      <c r="AN96" s="24"/>
      <c r="AO96" s="41"/>
    </row>
    <row r="97" spans="30:41" x14ac:dyDescent="0.15">
      <c r="AD97" s="19"/>
      <c r="AE97" s="19"/>
      <c r="AF97" s="19"/>
      <c r="AG97" s="19"/>
      <c r="AH97" s="19"/>
      <c r="AI97" s="19"/>
      <c r="AJ97" s="19"/>
      <c r="AK97" s="19"/>
      <c r="AL97" s="19"/>
      <c r="AM97" s="19"/>
      <c r="AN97" s="24"/>
      <c r="AO97" s="41"/>
    </row>
    <row r="98" spans="30:41" x14ac:dyDescent="0.15">
      <c r="AD98" s="19"/>
      <c r="AE98" s="19"/>
      <c r="AF98" s="19"/>
      <c r="AG98" s="19"/>
      <c r="AH98" s="19"/>
      <c r="AI98" s="19"/>
      <c r="AJ98" s="19"/>
      <c r="AK98" s="19"/>
      <c r="AL98" s="19"/>
      <c r="AM98" s="19"/>
      <c r="AN98" s="24"/>
      <c r="AO98" s="41"/>
    </row>
    <row r="99" spans="30:41" x14ac:dyDescent="0.15">
      <c r="AD99" s="19"/>
      <c r="AE99" s="19"/>
      <c r="AF99" s="19"/>
      <c r="AG99" s="19"/>
      <c r="AH99" s="19"/>
      <c r="AI99" s="19"/>
      <c r="AJ99" s="19"/>
      <c r="AK99" s="19"/>
      <c r="AL99" s="19"/>
      <c r="AM99" s="19"/>
      <c r="AN99" s="24"/>
      <c r="AO99" s="41"/>
    </row>
    <row r="100" spans="30:41" x14ac:dyDescent="0.15">
      <c r="AD100" s="19"/>
      <c r="AE100" s="19"/>
      <c r="AF100" s="19"/>
      <c r="AG100" s="19"/>
      <c r="AH100" s="19"/>
      <c r="AI100" s="19"/>
      <c r="AJ100" s="19"/>
      <c r="AK100" s="19"/>
      <c r="AL100" s="19"/>
      <c r="AM100" s="19"/>
      <c r="AN100" s="24"/>
      <c r="AO100" s="41"/>
    </row>
    <row r="101" spans="30:41" x14ac:dyDescent="0.15">
      <c r="AD101" s="19"/>
      <c r="AE101" s="19"/>
      <c r="AF101" s="19"/>
      <c r="AG101" s="19"/>
      <c r="AH101" s="19"/>
      <c r="AI101" s="19"/>
      <c r="AJ101" s="19"/>
      <c r="AK101" s="19"/>
      <c r="AL101" s="19"/>
      <c r="AM101" s="19"/>
      <c r="AN101" s="24"/>
      <c r="AO101" s="41"/>
    </row>
    <row r="102" spans="30:41" x14ac:dyDescent="0.15">
      <c r="AD102" s="19"/>
      <c r="AE102" s="19"/>
      <c r="AF102" s="19"/>
      <c r="AG102" s="19"/>
      <c r="AH102" s="19"/>
      <c r="AI102" s="19"/>
      <c r="AJ102" s="19"/>
      <c r="AK102" s="19"/>
      <c r="AL102" s="19"/>
      <c r="AM102" s="19"/>
      <c r="AN102" s="24"/>
      <c r="AO102" s="41"/>
    </row>
    <row r="103" spans="30:41" x14ac:dyDescent="0.15">
      <c r="AD103" s="19"/>
      <c r="AE103" s="19"/>
      <c r="AF103" s="19"/>
      <c r="AG103" s="19"/>
      <c r="AH103" s="19"/>
      <c r="AI103" s="19"/>
      <c r="AJ103" s="19"/>
      <c r="AK103" s="19"/>
      <c r="AL103" s="19"/>
      <c r="AM103" s="19"/>
      <c r="AN103" s="24"/>
      <c r="AO103" s="41"/>
    </row>
    <row r="104" spans="30:41" x14ac:dyDescent="0.15">
      <c r="AD104" s="19"/>
      <c r="AE104" s="19"/>
      <c r="AF104" s="19"/>
      <c r="AG104" s="19"/>
      <c r="AH104" s="19"/>
      <c r="AI104" s="19"/>
      <c r="AJ104" s="19"/>
      <c r="AK104" s="19"/>
      <c r="AL104" s="19"/>
      <c r="AM104" s="19"/>
      <c r="AN104" s="24"/>
      <c r="AO104" s="41"/>
    </row>
    <row r="105" spans="30:41" x14ac:dyDescent="0.15">
      <c r="AD105" s="19"/>
      <c r="AE105" s="19"/>
      <c r="AF105" s="19"/>
      <c r="AG105" s="19"/>
      <c r="AH105" s="19"/>
      <c r="AI105" s="19"/>
      <c r="AJ105" s="19"/>
      <c r="AK105" s="19"/>
      <c r="AL105" s="19"/>
      <c r="AM105" s="19"/>
      <c r="AN105" s="24"/>
      <c r="AO105" s="41"/>
    </row>
    <row r="106" spans="30:41" x14ac:dyDescent="0.15">
      <c r="AD106" s="19"/>
      <c r="AE106" s="19"/>
      <c r="AF106" s="19"/>
      <c r="AG106" s="19"/>
      <c r="AH106" s="19"/>
      <c r="AI106" s="19"/>
      <c r="AJ106" s="19"/>
      <c r="AK106" s="19"/>
      <c r="AL106" s="19"/>
      <c r="AM106" s="19"/>
      <c r="AN106" s="24"/>
      <c r="AO106" s="41"/>
    </row>
    <row r="107" spans="30:41" x14ac:dyDescent="0.15">
      <c r="AD107" s="19"/>
      <c r="AE107" s="19"/>
      <c r="AF107" s="19"/>
      <c r="AG107" s="19"/>
      <c r="AH107" s="19"/>
      <c r="AI107" s="19"/>
      <c r="AJ107" s="19"/>
      <c r="AK107" s="19"/>
      <c r="AL107" s="19"/>
      <c r="AM107" s="19"/>
      <c r="AN107" s="24"/>
      <c r="AO107" s="41"/>
    </row>
    <row r="108" spans="30:41" x14ac:dyDescent="0.15">
      <c r="AD108" s="19"/>
      <c r="AE108" s="19"/>
      <c r="AF108" s="19"/>
      <c r="AG108" s="19"/>
      <c r="AH108" s="19"/>
      <c r="AI108" s="19"/>
      <c r="AJ108" s="19"/>
      <c r="AK108" s="19"/>
      <c r="AL108" s="19"/>
      <c r="AM108" s="19"/>
      <c r="AN108" s="24"/>
      <c r="AO108" s="41"/>
    </row>
    <row r="109" spans="30:41" x14ac:dyDescent="0.15">
      <c r="AD109" s="19"/>
      <c r="AE109" s="19"/>
      <c r="AF109" s="19"/>
      <c r="AG109" s="19"/>
      <c r="AH109" s="19"/>
      <c r="AI109" s="19"/>
      <c r="AJ109" s="19"/>
      <c r="AK109" s="19"/>
      <c r="AL109" s="19"/>
      <c r="AM109" s="19"/>
      <c r="AN109" s="24"/>
      <c r="AO109" s="41"/>
    </row>
    <row r="110" spans="30:41" x14ac:dyDescent="0.15">
      <c r="AD110" s="19"/>
      <c r="AE110" s="19"/>
      <c r="AF110" s="19"/>
      <c r="AG110" s="19"/>
      <c r="AH110" s="19"/>
      <c r="AI110" s="19"/>
      <c r="AJ110" s="19"/>
      <c r="AK110" s="19"/>
      <c r="AL110" s="19"/>
      <c r="AM110" s="19"/>
      <c r="AN110" s="24"/>
      <c r="AO110" s="41"/>
    </row>
    <row r="111" spans="30:41" x14ac:dyDescent="0.15">
      <c r="AD111" s="19"/>
      <c r="AE111" s="19"/>
      <c r="AF111" s="19"/>
      <c r="AG111" s="19"/>
      <c r="AH111" s="19"/>
      <c r="AI111" s="19"/>
      <c r="AJ111" s="19"/>
      <c r="AK111" s="19"/>
      <c r="AL111" s="19"/>
      <c r="AM111" s="19"/>
      <c r="AN111" s="24"/>
      <c r="AO111" s="41"/>
    </row>
    <row r="112" spans="30:41" x14ac:dyDescent="0.15">
      <c r="AD112" s="19"/>
      <c r="AE112" s="19"/>
      <c r="AF112" s="19"/>
      <c r="AG112" s="19"/>
      <c r="AH112" s="19"/>
      <c r="AI112" s="19"/>
      <c r="AJ112" s="19"/>
      <c r="AK112" s="19"/>
      <c r="AL112" s="19"/>
      <c r="AM112" s="19"/>
      <c r="AN112" s="24"/>
      <c r="AO112" s="41"/>
    </row>
    <row r="113" spans="30:41" x14ac:dyDescent="0.15">
      <c r="AD113" s="19"/>
      <c r="AE113" s="19"/>
      <c r="AF113" s="19"/>
      <c r="AG113" s="19"/>
      <c r="AH113" s="19"/>
      <c r="AI113" s="19"/>
      <c r="AJ113" s="19"/>
      <c r="AK113" s="19"/>
      <c r="AL113" s="19"/>
      <c r="AM113" s="19"/>
      <c r="AN113" s="24"/>
      <c r="AO113" s="41"/>
    </row>
    <row r="114" spans="30:41" x14ac:dyDescent="0.15">
      <c r="AD114" s="19"/>
      <c r="AE114" s="19"/>
      <c r="AF114" s="19"/>
      <c r="AG114" s="19"/>
      <c r="AH114" s="19"/>
      <c r="AI114" s="19"/>
      <c r="AJ114" s="19"/>
      <c r="AK114" s="19"/>
      <c r="AL114" s="19"/>
      <c r="AM114" s="19"/>
      <c r="AN114" s="24"/>
      <c r="AO114" s="41"/>
    </row>
    <row r="115" spans="30:41" x14ac:dyDescent="0.15">
      <c r="AD115" s="19"/>
      <c r="AE115" s="19"/>
      <c r="AF115" s="19"/>
      <c r="AG115" s="19"/>
      <c r="AH115" s="19"/>
      <c r="AI115" s="19"/>
      <c r="AJ115" s="19"/>
      <c r="AK115" s="19"/>
      <c r="AL115" s="19"/>
      <c r="AM115" s="19"/>
      <c r="AN115" s="24"/>
      <c r="AO115" s="41"/>
    </row>
    <row r="116" spans="30:41" x14ac:dyDescent="0.15">
      <c r="AD116" s="19"/>
      <c r="AE116" s="19"/>
      <c r="AF116" s="19"/>
      <c r="AG116" s="19"/>
      <c r="AH116" s="19"/>
      <c r="AI116" s="19"/>
      <c r="AJ116" s="19"/>
      <c r="AK116" s="19"/>
      <c r="AL116" s="19"/>
      <c r="AM116" s="19"/>
      <c r="AN116" s="24"/>
      <c r="AO116" s="41"/>
    </row>
    <row r="117" spans="30:41" x14ac:dyDescent="0.15">
      <c r="AD117" s="19"/>
      <c r="AE117" s="19"/>
      <c r="AF117" s="19"/>
      <c r="AG117" s="19"/>
      <c r="AH117" s="19"/>
      <c r="AI117" s="19"/>
      <c r="AJ117" s="19"/>
      <c r="AK117" s="19"/>
      <c r="AL117" s="19"/>
      <c r="AM117" s="19"/>
      <c r="AN117" s="24"/>
      <c r="AO117" s="41"/>
    </row>
    <row r="118" spans="30:41" x14ac:dyDescent="0.15">
      <c r="AD118" s="19"/>
      <c r="AE118" s="19"/>
      <c r="AF118" s="19"/>
      <c r="AG118" s="19"/>
      <c r="AH118" s="19"/>
      <c r="AI118" s="19"/>
      <c r="AJ118" s="19"/>
      <c r="AK118" s="19"/>
      <c r="AL118" s="19"/>
      <c r="AM118" s="19"/>
      <c r="AN118" s="24"/>
      <c r="AO118" s="41"/>
    </row>
    <row r="119" spans="30:41" x14ac:dyDescent="0.15">
      <c r="AD119" s="19"/>
      <c r="AE119" s="19"/>
      <c r="AF119" s="19"/>
      <c r="AG119" s="19"/>
      <c r="AH119" s="19"/>
      <c r="AI119" s="19"/>
      <c r="AJ119" s="19"/>
      <c r="AK119" s="19"/>
      <c r="AL119" s="19"/>
      <c r="AM119" s="19"/>
      <c r="AN119" s="24"/>
      <c r="AO119" s="41"/>
    </row>
    <row r="120" spans="30:41" x14ac:dyDescent="0.15">
      <c r="AD120" s="19"/>
      <c r="AE120" s="19"/>
      <c r="AF120" s="19"/>
      <c r="AG120" s="19"/>
      <c r="AH120" s="19"/>
      <c r="AI120" s="19"/>
      <c r="AJ120" s="19"/>
      <c r="AK120" s="19"/>
      <c r="AL120" s="19"/>
      <c r="AM120" s="19"/>
      <c r="AN120" s="24"/>
      <c r="AO120" s="41"/>
    </row>
    <row r="121" spans="30:41" x14ac:dyDescent="0.15">
      <c r="AD121" s="19"/>
      <c r="AE121" s="19"/>
      <c r="AF121" s="19"/>
      <c r="AG121" s="19"/>
      <c r="AH121" s="19"/>
      <c r="AI121" s="19"/>
      <c r="AJ121" s="19"/>
      <c r="AK121" s="19"/>
      <c r="AL121" s="19"/>
      <c r="AM121" s="19"/>
      <c r="AN121" s="24"/>
      <c r="AO121" s="41"/>
    </row>
    <row r="122" spans="30:41" x14ac:dyDescent="0.15">
      <c r="AD122" s="19"/>
      <c r="AE122" s="19"/>
      <c r="AF122" s="19"/>
      <c r="AG122" s="19"/>
      <c r="AH122" s="19"/>
      <c r="AI122" s="19"/>
      <c r="AJ122" s="19"/>
      <c r="AK122" s="19"/>
      <c r="AL122" s="19"/>
      <c r="AM122" s="19"/>
      <c r="AN122" s="24"/>
      <c r="AO122" s="41"/>
    </row>
    <row r="123" spans="30:41" x14ac:dyDescent="0.15">
      <c r="AD123" s="19"/>
      <c r="AE123" s="19"/>
      <c r="AF123" s="19"/>
      <c r="AG123" s="19"/>
      <c r="AH123" s="19"/>
      <c r="AI123" s="19"/>
      <c r="AJ123" s="19"/>
      <c r="AK123" s="19"/>
      <c r="AL123" s="19"/>
      <c r="AM123" s="19"/>
      <c r="AN123" s="24"/>
      <c r="AO123" s="41"/>
    </row>
    <row r="124" spans="30:41" x14ac:dyDescent="0.15">
      <c r="AD124" s="19"/>
      <c r="AE124" s="19"/>
      <c r="AF124" s="19"/>
      <c r="AG124" s="19"/>
      <c r="AH124" s="19"/>
      <c r="AI124" s="19"/>
      <c r="AJ124" s="19"/>
      <c r="AK124" s="19"/>
      <c r="AL124" s="19"/>
      <c r="AM124" s="19"/>
      <c r="AN124" s="24"/>
      <c r="AO124" s="41"/>
    </row>
    <row r="125" spans="30:41" x14ac:dyDescent="0.15">
      <c r="AD125" s="19"/>
      <c r="AE125" s="19"/>
      <c r="AF125" s="19"/>
      <c r="AG125" s="19"/>
      <c r="AH125" s="19"/>
      <c r="AI125" s="19"/>
      <c r="AJ125" s="19"/>
      <c r="AK125" s="19"/>
      <c r="AL125" s="19"/>
      <c r="AM125" s="19"/>
      <c r="AN125" s="24"/>
      <c r="AO125" s="41"/>
    </row>
    <row r="126" spans="30:41" x14ac:dyDescent="0.15">
      <c r="AD126" s="19"/>
      <c r="AE126" s="19"/>
      <c r="AF126" s="19"/>
      <c r="AG126" s="19"/>
      <c r="AH126" s="19"/>
      <c r="AI126" s="19"/>
      <c r="AJ126" s="19"/>
      <c r="AK126" s="19"/>
      <c r="AL126" s="19"/>
      <c r="AM126" s="19"/>
      <c r="AN126" s="24"/>
      <c r="AO126" s="41"/>
    </row>
    <row r="127" spans="30:41" x14ac:dyDescent="0.15">
      <c r="AD127" s="19"/>
      <c r="AE127" s="19"/>
      <c r="AF127" s="19"/>
      <c r="AG127" s="19"/>
      <c r="AH127" s="19"/>
      <c r="AI127" s="19"/>
      <c r="AJ127" s="19"/>
      <c r="AK127" s="19"/>
      <c r="AL127" s="19"/>
      <c r="AM127" s="19"/>
      <c r="AN127" s="24"/>
      <c r="AO127" s="41"/>
    </row>
    <row r="128" spans="30:41" x14ac:dyDescent="0.15">
      <c r="AD128" s="19"/>
      <c r="AE128" s="19"/>
      <c r="AF128" s="19"/>
      <c r="AG128" s="19"/>
      <c r="AH128" s="19"/>
      <c r="AI128" s="19"/>
      <c r="AJ128" s="19"/>
      <c r="AK128" s="19"/>
      <c r="AL128" s="19"/>
      <c r="AM128" s="19"/>
      <c r="AN128" s="24"/>
      <c r="AO128" s="41"/>
    </row>
    <row r="129" spans="30:41" x14ac:dyDescent="0.15">
      <c r="AD129" s="19"/>
      <c r="AE129" s="19"/>
      <c r="AF129" s="19"/>
      <c r="AG129" s="19"/>
      <c r="AH129" s="19"/>
      <c r="AI129" s="19"/>
      <c r="AJ129" s="19"/>
      <c r="AK129" s="19"/>
      <c r="AL129" s="19"/>
      <c r="AM129" s="19"/>
      <c r="AN129" s="24"/>
      <c r="AO129" s="41"/>
    </row>
    <row r="130" spans="30:41" x14ac:dyDescent="0.15">
      <c r="AD130" s="19"/>
      <c r="AE130" s="19"/>
      <c r="AF130" s="19"/>
      <c r="AG130" s="19"/>
      <c r="AH130" s="19"/>
      <c r="AI130" s="19"/>
      <c r="AJ130" s="19"/>
      <c r="AK130" s="19"/>
      <c r="AL130" s="19"/>
      <c r="AM130" s="19"/>
      <c r="AN130" s="24"/>
      <c r="AO130" s="41"/>
    </row>
    <row r="131" spans="30:41" x14ac:dyDescent="0.15">
      <c r="AD131" s="19"/>
      <c r="AE131" s="19"/>
      <c r="AF131" s="19"/>
      <c r="AG131" s="19"/>
      <c r="AH131" s="19"/>
      <c r="AI131" s="19"/>
      <c r="AJ131" s="19"/>
      <c r="AK131" s="19"/>
      <c r="AL131" s="19"/>
      <c r="AM131" s="19"/>
      <c r="AN131" s="24"/>
      <c r="AO131" s="41"/>
    </row>
    <row r="132" spans="30:41" x14ac:dyDescent="0.15">
      <c r="AD132" s="19"/>
      <c r="AE132" s="19"/>
      <c r="AF132" s="19"/>
      <c r="AG132" s="19"/>
      <c r="AH132" s="19"/>
      <c r="AI132" s="19"/>
      <c r="AJ132" s="19"/>
      <c r="AK132" s="19"/>
      <c r="AL132" s="19"/>
      <c r="AM132" s="19"/>
      <c r="AN132" s="24"/>
      <c r="AO132" s="41"/>
    </row>
    <row r="133" spans="30:41" x14ac:dyDescent="0.15">
      <c r="AD133" s="19"/>
      <c r="AE133" s="19"/>
      <c r="AF133" s="19"/>
      <c r="AG133" s="19"/>
      <c r="AH133" s="19"/>
      <c r="AI133" s="19"/>
      <c r="AJ133" s="19"/>
      <c r="AK133" s="19"/>
      <c r="AL133" s="19"/>
      <c r="AM133" s="19"/>
      <c r="AN133" s="24"/>
      <c r="AO133" s="41"/>
    </row>
    <row r="134" spans="30:41" x14ac:dyDescent="0.15">
      <c r="AD134" s="19"/>
      <c r="AE134" s="19"/>
      <c r="AF134" s="19"/>
      <c r="AG134" s="19"/>
      <c r="AH134" s="19"/>
      <c r="AI134" s="19"/>
      <c r="AJ134" s="19"/>
      <c r="AK134" s="19"/>
      <c r="AL134" s="19"/>
      <c r="AM134" s="19"/>
      <c r="AN134" s="24"/>
      <c r="AO134" s="41"/>
    </row>
    <row r="135" spans="30:41" x14ac:dyDescent="0.15">
      <c r="AD135" s="19"/>
      <c r="AE135" s="19"/>
      <c r="AF135" s="19"/>
      <c r="AG135" s="19"/>
      <c r="AH135" s="19"/>
      <c r="AI135" s="19"/>
      <c r="AJ135" s="19"/>
      <c r="AK135" s="19"/>
      <c r="AL135" s="19"/>
      <c r="AM135" s="19"/>
      <c r="AN135" s="24"/>
      <c r="AO135" s="41"/>
    </row>
    <row r="136" spans="30:41" x14ac:dyDescent="0.15">
      <c r="AD136" s="19"/>
      <c r="AE136" s="19"/>
      <c r="AF136" s="19"/>
      <c r="AG136" s="19"/>
      <c r="AH136" s="19"/>
      <c r="AI136" s="19"/>
      <c r="AJ136" s="19"/>
      <c r="AK136" s="19"/>
      <c r="AL136" s="19"/>
      <c r="AM136" s="19"/>
      <c r="AN136" s="24"/>
      <c r="AO136" s="41"/>
    </row>
    <row r="137" spans="30:41" x14ac:dyDescent="0.15">
      <c r="AD137" s="19"/>
      <c r="AE137" s="19"/>
      <c r="AF137" s="19"/>
      <c r="AG137" s="19"/>
      <c r="AH137" s="19"/>
      <c r="AI137" s="19"/>
      <c r="AJ137" s="19"/>
      <c r="AK137" s="19"/>
      <c r="AL137" s="19"/>
      <c r="AM137" s="19"/>
      <c r="AN137" s="24"/>
      <c r="AO137" s="41"/>
    </row>
    <row r="138" spans="30:41" x14ac:dyDescent="0.15">
      <c r="AD138" s="19"/>
      <c r="AE138" s="19"/>
      <c r="AF138" s="19"/>
      <c r="AG138" s="19"/>
      <c r="AH138" s="19"/>
      <c r="AI138" s="19"/>
      <c r="AJ138" s="19"/>
      <c r="AK138" s="19"/>
      <c r="AL138" s="19"/>
      <c r="AM138" s="19"/>
      <c r="AN138" s="24"/>
      <c r="AO138" s="41"/>
    </row>
    <row r="139" spans="30:41" x14ac:dyDescent="0.15">
      <c r="AD139" s="19"/>
      <c r="AE139" s="19"/>
      <c r="AF139" s="19"/>
      <c r="AG139" s="19"/>
      <c r="AH139" s="19"/>
      <c r="AI139" s="19"/>
      <c r="AJ139" s="19"/>
      <c r="AK139" s="19"/>
      <c r="AL139" s="19"/>
      <c r="AM139" s="19"/>
      <c r="AN139" s="24"/>
      <c r="AO139" s="41"/>
    </row>
    <row r="140" spans="30:41" x14ac:dyDescent="0.15">
      <c r="AD140" s="19"/>
      <c r="AE140" s="19"/>
      <c r="AF140" s="19"/>
      <c r="AG140" s="19"/>
      <c r="AH140" s="19"/>
      <c r="AI140" s="19"/>
      <c r="AJ140" s="19"/>
      <c r="AK140" s="19"/>
      <c r="AL140" s="19"/>
      <c r="AM140" s="19"/>
      <c r="AN140" s="24"/>
      <c r="AO140" s="41"/>
    </row>
    <row r="141" spans="30:41" x14ac:dyDescent="0.15">
      <c r="AD141" s="19"/>
      <c r="AE141" s="19"/>
      <c r="AF141" s="19"/>
      <c r="AG141" s="19"/>
      <c r="AH141" s="19"/>
      <c r="AI141" s="19"/>
      <c r="AJ141" s="19"/>
      <c r="AK141" s="19"/>
      <c r="AL141" s="19"/>
      <c r="AM141" s="19"/>
      <c r="AN141" s="24"/>
      <c r="AO141" s="41"/>
    </row>
    <row r="142" spans="30:41" x14ac:dyDescent="0.15">
      <c r="AD142" s="19"/>
      <c r="AE142" s="19"/>
      <c r="AF142" s="19"/>
      <c r="AG142" s="19"/>
      <c r="AH142" s="19"/>
      <c r="AI142" s="19"/>
      <c r="AJ142" s="19"/>
      <c r="AK142" s="19"/>
      <c r="AL142" s="19"/>
      <c r="AM142" s="19"/>
      <c r="AN142" s="24"/>
      <c r="AO142" s="41"/>
    </row>
    <row r="143" spans="30:41" x14ac:dyDescent="0.15">
      <c r="AD143" s="19"/>
      <c r="AE143" s="19"/>
      <c r="AF143" s="19"/>
      <c r="AG143" s="19"/>
      <c r="AH143" s="19"/>
      <c r="AI143" s="19"/>
      <c r="AJ143" s="19"/>
      <c r="AK143" s="19"/>
      <c r="AL143" s="19"/>
      <c r="AM143" s="19"/>
      <c r="AN143" s="24"/>
      <c r="AO143" s="41"/>
    </row>
    <row r="144" spans="30:41" x14ac:dyDescent="0.15">
      <c r="AD144" s="19"/>
      <c r="AE144" s="19"/>
      <c r="AF144" s="19"/>
      <c r="AG144" s="19"/>
      <c r="AH144" s="19"/>
      <c r="AI144" s="19"/>
      <c r="AJ144" s="19"/>
      <c r="AK144" s="19"/>
      <c r="AL144" s="19"/>
      <c r="AM144" s="19"/>
      <c r="AN144" s="24"/>
      <c r="AO144" s="41"/>
    </row>
    <row r="145" spans="30:41" x14ac:dyDescent="0.15">
      <c r="AD145" s="19"/>
      <c r="AE145" s="19"/>
      <c r="AF145" s="19"/>
      <c r="AG145" s="19"/>
      <c r="AH145" s="19"/>
      <c r="AI145" s="19"/>
      <c r="AJ145" s="19"/>
      <c r="AK145" s="19"/>
      <c r="AL145" s="19"/>
      <c r="AM145" s="19"/>
      <c r="AN145" s="24"/>
      <c r="AO145" s="41"/>
    </row>
    <row r="146" spans="30:41" x14ac:dyDescent="0.15">
      <c r="AD146" s="19"/>
      <c r="AE146" s="19"/>
      <c r="AF146" s="19"/>
      <c r="AG146" s="19"/>
      <c r="AH146" s="19"/>
      <c r="AI146" s="19"/>
      <c r="AJ146" s="19"/>
      <c r="AK146" s="19"/>
      <c r="AL146" s="19"/>
      <c r="AM146" s="19"/>
      <c r="AN146" s="24"/>
      <c r="AO146" s="41"/>
    </row>
    <row r="147" spans="30:41" x14ac:dyDescent="0.15">
      <c r="AD147" s="19"/>
      <c r="AE147" s="19"/>
      <c r="AF147" s="19"/>
      <c r="AG147" s="19"/>
      <c r="AH147" s="19"/>
      <c r="AI147" s="19"/>
      <c r="AJ147" s="19"/>
      <c r="AK147" s="19"/>
      <c r="AL147" s="19"/>
      <c r="AM147" s="19"/>
      <c r="AN147" s="24"/>
      <c r="AO147" s="41"/>
    </row>
    <row r="148" spans="30:41" x14ac:dyDescent="0.15">
      <c r="AD148" s="19"/>
      <c r="AE148" s="19"/>
      <c r="AF148" s="19"/>
      <c r="AG148" s="19"/>
      <c r="AH148" s="19"/>
      <c r="AI148" s="19"/>
      <c r="AJ148" s="19"/>
      <c r="AK148" s="19"/>
      <c r="AL148" s="19"/>
      <c r="AM148" s="19"/>
      <c r="AN148" s="24"/>
      <c r="AO148" s="41"/>
    </row>
    <row r="149" spans="30:41" x14ac:dyDescent="0.15">
      <c r="AD149" s="19"/>
      <c r="AE149" s="19"/>
      <c r="AF149" s="19"/>
      <c r="AG149" s="19"/>
      <c r="AH149" s="19"/>
      <c r="AI149" s="19"/>
      <c r="AJ149" s="19"/>
      <c r="AK149" s="19"/>
      <c r="AL149" s="19"/>
      <c r="AM149" s="19"/>
      <c r="AN149" s="24"/>
      <c r="AO149" s="41"/>
    </row>
    <row r="150" spans="30:41" x14ac:dyDescent="0.15">
      <c r="AD150" s="19"/>
      <c r="AE150" s="19"/>
      <c r="AF150" s="19"/>
      <c r="AG150" s="19"/>
      <c r="AH150" s="19"/>
      <c r="AI150" s="19"/>
      <c r="AJ150" s="19"/>
      <c r="AK150" s="19"/>
      <c r="AL150" s="19"/>
      <c r="AM150" s="19"/>
      <c r="AN150" s="24"/>
      <c r="AO150" s="41"/>
    </row>
    <row r="151" spans="30:41" x14ac:dyDescent="0.15">
      <c r="AD151" s="19"/>
      <c r="AE151" s="19"/>
      <c r="AF151" s="19"/>
      <c r="AG151" s="19"/>
      <c r="AH151" s="19"/>
      <c r="AI151" s="19"/>
      <c r="AJ151" s="19"/>
      <c r="AK151" s="19"/>
      <c r="AL151" s="19"/>
      <c r="AM151" s="19"/>
      <c r="AN151" s="24"/>
      <c r="AO151" s="41"/>
    </row>
    <row r="152" spans="30:41" x14ac:dyDescent="0.15">
      <c r="AD152" s="19"/>
      <c r="AE152" s="19"/>
      <c r="AF152" s="19"/>
      <c r="AG152" s="19"/>
      <c r="AH152" s="19"/>
      <c r="AI152" s="19"/>
      <c r="AJ152" s="19"/>
      <c r="AK152" s="19"/>
      <c r="AL152" s="19"/>
      <c r="AM152" s="19"/>
      <c r="AN152" s="24"/>
      <c r="AO152" s="41"/>
    </row>
    <row r="153" spans="30:41" x14ac:dyDescent="0.15">
      <c r="AD153" s="19"/>
      <c r="AE153" s="19"/>
      <c r="AF153" s="19"/>
      <c r="AG153" s="19"/>
      <c r="AH153" s="19"/>
      <c r="AI153" s="19"/>
      <c r="AJ153" s="19"/>
      <c r="AK153" s="19"/>
      <c r="AL153" s="19"/>
      <c r="AM153" s="19"/>
      <c r="AN153" s="24"/>
      <c r="AO153" s="41"/>
    </row>
    <row r="154" spans="30:41" x14ac:dyDescent="0.15">
      <c r="AD154" s="19"/>
      <c r="AE154" s="19"/>
      <c r="AF154" s="19"/>
      <c r="AG154" s="19"/>
      <c r="AH154" s="19"/>
      <c r="AI154" s="19"/>
      <c r="AJ154" s="19"/>
      <c r="AK154" s="19"/>
      <c r="AL154" s="19"/>
      <c r="AM154" s="19"/>
      <c r="AN154" s="24"/>
      <c r="AO154" s="41"/>
    </row>
    <row r="155" spans="30:41" x14ac:dyDescent="0.15">
      <c r="AD155" s="19"/>
      <c r="AE155" s="19"/>
      <c r="AF155" s="19"/>
      <c r="AG155" s="19"/>
      <c r="AH155" s="19"/>
      <c r="AI155" s="19"/>
      <c r="AJ155" s="19"/>
      <c r="AK155" s="19"/>
      <c r="AL155" s="19"/>
      <c r="AM155" s="19"/>
      <c r="AN155" s="24"/>
      <c r="AO155" s="41"/>
    </row>
    <row r="156" spans="30:41" x14ac:dyDescent="0.15">
      <c r="AD156" s="19"/>
      <c r="AE156" s="19"/>
      <c r="AF156" s="19"/>
      <c r="AG156" s="19"/>
      <c r="AH156" s="19"/>
      <c r="AI156" s="19"/>
      <c r="AJ156" s="19"/>
      <c r="AK156" s="19"/>
      <c r="AL156" s="19"/>
      <c r="AM156" s="19"/>
      <c r="AN156" s="24"/>
      <c r="AO156" s="41"/>
    </row>
    <row r="157" spans="30:41" x14ac:dyDescent="0.15">
      <c r="AD157" s="19"/>
      <c r="AE157" s="19"/>
      <c r="AF157" s="19"/>
      <c r="AG157" s="19"/>
      <c r="AH157" s="19"/>
      <c r="AI157" s="19"/>
      <c r="AJ157" s="19"/>
      <c r="AK157" s="19"/>
      <c r="AL157" s="19"/>
      <c r="AM157" s="19"/>
      <c r="AN157" s="24"/>
      <c r="AO157" s="41"/>
    </row>
    <row r="158" spans="30:41" x14ac:dyDescent="0.15">
      <c r="AD158" s="19"/>
      <c r="AE158" s="19"/>
      <c r="AF158" s="19"/>
      <c r="AG158" s="19"/>
      <c r="AH158" s="19"/>
      <c r="AI158" s="19"/>
      <c r="AJ158" s="19"/>
      <c r="AK158" s="19"/>
      <c r="AL158" s="19"/>
      <c r="AM158" s="19"/>
      <c r="AN158" s="24"/>
      <c r="AO158" s="41"/>
    </row>
    <row r="159" spans="30:41" x14ac:dyDescent="0.15">
      <c r="AD159" s="19"/>
      <c r="AE159" s="19"/>
      <c r="AF159" s="19"/>
      <c r="AG159" s="19"/>
      <c r="AH159" s="19"/>
      <c r="AI159" s="19"/>
      <c r="AJ159" s="19"/>
      <c r="AK159" s="19"/>
      <c r="AL159" s="19"/>
      <c r="AM159" s="19"/>
      <c r="AN159" s="24"/>
      <c r="AO159" s="41"/>
    </row>
    <row r="160" spans="30:41" x14ac:dyDescent="0.15">
      <c r="AD160" s="19"/>
      <c r="AE160" s="19"/>
      <c r="AF160" s="19"/>
      <c r="AG160" s="19"/>
      <c r="AH160" s="19"/>
      <c r="AI160" s="19"/>
      <c r="AJ160" s="19"/>
      <c r="AK160" s="19"/>
      <c r="AL160" s="19"/>
      <c r="AM160" s="19"/>
      <c r="AN160" s="24"/>
      <c r="AO160" s="41"/>
    </row>
    <row r="161" spans="30:41" x14ac:dyDescent="0.15">
      <c r="AD161" s="19"/>
      <c r="AE161" s="19"/>
      <c r="AF161" s="19"/>
      <c r="AG161" s="19"/>
      <c r="AH161" s="19"/>
      <c r="AI161" s="19"/>
      <c r="AJ161" s="19"/>
      <c r="AK161" s="19"/>
      <c r="AL161" s="19"/>
      <c r="AM161" s="19"/>
      <c r="AN161" s="24"/>
      <c r="AO161" s="41"/>
    </row>
    <row r="162" spans="30:41" x14ac:dyDescent="0.15">
      <c r="AD162" s="19"/>
      <c r="AE162" s="19"/>
      <c r="AF162" s="19"/>
      <c r="AG162" s="19"/>
      <c r="AH162" s="19"/>
      <c r="AI162" s="19"/>
      <c r="AJ162" s="19"/>
      <c r="AK162" s="19"/>
      <c r="AL162" s="19"/>
      <c r="AM162" s="19"/>
      <c r="AN162" s="24"/>
      <c r="AO162" s="41"/>
    </row>
    <row r="163" spans="30:41" x14ac:dyDescent="0.15">
      <c r="AD163" s="24"/>
      <c r="AE163" s="24"/>
      <c r="AF163" s="24"/>
      <c r="AG163" s="24"/>
      <c r="AH163" s="24"/>
      <c r="AI163" s="24"/>
      <c r="AJ163" s="24"/>
      <c r="AK163" s="24"/>
      <c r="AL163" s="24"/>
      <c r="AM163" s="24"/>
      <c r="AN163" s="24"/>
      <c r="AO163" s="41"/>
    </row>
    <row r="164" spans="30:41" x14ac:dyDescent="0.15">
      <c r="AD164" s="24"/>
      <c r="AE164" s="24"/>
      <c r="AF164" s="24"/>
      <c r="AG164" s="24"/>
      <c r="AH164" s="24"/>
      <c r="AI164" s="24"/>
      <c r="AJ164" s="24"/>
      <c r="AK164" s="24"/>
      <c r="AL164" s="24"/>
      <c r="AM164" s="24"/>
      <c r="AN164" s="24"/>
      <c r="AO164" s="41"/>
    </row>
    <row r="165" spans="30:41" x14ac:dyDescent="0.15">
      <c r="AD165" s="24"/>
      <c r="AE165" s="24"/>
      <c r="AF165" s="24"/>
      <c r="AG165" s="24"/>
      <c r="AH165" s="24"/>
      <c r="AI165" s="24"/>
      <c r="AJ165" s="24"/>
      <c r="AK165" s="24"/>
      <c r="AL165" s="24"/>
      <c r="AM165" s="24"/>
      <c r="AN165" s="24"/>
      <c r="AO165" s="41"/>
    </row>
    <row r="166" spans="30:41" x14ac:dyDescent="0.15">
      <c r="AD166" s="24"/>
      <c r="AE166" s="24"/>
      <c r="AF166" s="24"/>
      <c r="AG166" s="24"/>
      <c r="AH166" s="24"/>
      <c r="AI166" s="24"/>
      <c r="AJ166" s="24"/>
      <c r="AK166" s="24"/>
      <c r="AL166" s="24"/>
      <c r="AM166" s="24"/>
      <c r="AN166" s="24"/>
      <c r="AO166" s="41"/>
    </row>
    <row r="167" spans="30:41" x14ac:dyDescent="0.15">
      <c r="AD167" s="24"/>
      <c r="AE167" s="24"/>
      <c r="AF167" s="24"/>
      <c r="AG167" s="24"/>
      <c r="AH167" s="24"/>
      <c r="AI167" s="24"/>
      <c r="AJ167" s="24"/>
      <c r="AK167" s="24"/>
      <c r="AL167" s="24"/>
      <c r="AM167" s="24"/>
      <c r="AN167" s="24"/>
      <c r="AO167" s="41"/>
    </row>
    <row r="168" spans="30:41" x14ac:dyDescent="0.15">
      <c r="AD168" s="41"/>
      <c r="AE168" s="41"/>
      <c r="AF168" s="41"/>
      <c r="AG168" s="41"/>
      <c r="AH168" s="41"/>
      <c r="AI168" s="41"/>
      <c r="AJ168" s="41"/>
      <c r="AK168" s="41"/>
      <c r="AL168" s="41"/>
      <c r="AM168" s="41"/>
      <c r="AN168" s="41"/>
      <c r="AO168" s="41"/>
    </row>
    <row r="169" spans="30:41" x14ac:dyDescent="0.15">
      <c r="AD169" s="41"/>
      <c r="AE169" s="41"/>
      <c r="AF169" s="41"/>
      <c r="AG169" s="41"/>
      <c r="AH169" s="41"/>
      <c r="AI169" s="41"/>
      <c r="AJ169" s="41"/>
      <c r="AK169" s="41"/>
      <c r="AL169" s="41"/>
      <c r="AM169" s="41"/>
      <c r="AN169" s="41"/>
      <c r="AO169" s="41"/>
    </row>
    <row r="170" spans="30:41" x14ac:dyDescent="0.15">
      <c r="AD170" s="41"/>
      <c r="AE170" s="41"/>
      <c r="AF170" s="41"/>
      <c r="AG170" s="41"/>
      <c r="AH170" s="41"/>
      <c r="AI170" s="41"/>
      <c r="AJ170" s="41"/>
      <c r="AK170" s="41"/>
      <c r="AL170" s="41"/>
      <c r="AM170" s="41"/>
      <c r="AN170" s="41"/>
      <c r="AO170" s="41"/>
    </row>
    <row r="171" spans="30:41" x14ac:dyDescent="0.15">
      <c r="AD171" s="41"/>
      <c r="AE171" s="41"/>
      <c r="AF171" s="41"/>
      <c r="AG171" s="41"/>
      <c r="AH171" s="41"/>
      <c r="AI171" s="41"/>
      <c r="AJ171" s="41"/>
      <c r="AK171" s="41"/>
      <c r="AL171" s="41"/>
      <c r="AM171" s="41"/>
      <c r="AN171" s="41"/>
      <c r="AO171" s="41"/>
    </row>
    <row r="172" spans="30:41" x14ac:dyDescent="0.15">
      <c r="AD172" s="41"/>
      <c r="AE172" s="41"/>
      <c r="AF172" s="41"/>
      <c r="AG172" s="41"/>
      <c r="AH172" s="41"/>
      <c r="AI172" s="41"/>
      <c r="AJ172" s="41"/>
      <c r="AK172" s="41"/>
      <c r="AL172" s="41"/>
      <c r="AM172" s="41"/>
      <c r="AN172" s="41"/>
      <c r="AO172" s="41"/>
    </row>
    <row r="173" spans="30:41" x14ac:dyDescent="0.15">
      <c r="AD173" s="41"/>
      <c r="AE173" s="41"/>
      <c r="AF173" s="41"/>
      <c r="AG173" s="41"/>
      <c r="AH173" s="41"/>
      <c r="AI173" s="41"/>
      <c r="AJ173" s="41"/>
      <c r="AK173" s="41"/>
      <c r="AL173" s="41"/>
      <c r="AM173" s="41"/>
      <c r="AN173" s="41"/>
      <c r="AO173" s="41"/>
    </row>
    <row r="174" spans="30:41" x14ac:dyDescent="0.15">
      <c r="AD174" s="41"/>
      <c r="AE174" s="41"/>
      <c r="AF174" s="41"/>
      <c r="AG174" s="41"/>
      <c r="AH174" s="41"/>
      <c r="AI174" s="41"/>
      <c r="AJ174" s="41"/>
      <c r="AK174" s="41"/>
      <c r="AL174" s="41"/>
      <c r="AM174" s="41"/>
      <c r="AN174" s="41"/>
      <c r="AO174" s="41"/>
    </row>
    <row r="175" spans="30:41" x14ac:dyDescent="0.15">
      <c r="AD175" s="41"/>
      <c r="AE175" s="41"/>
      <c r="AF175" s="41"/>
      <c r="AG175" s="41"/>
      <c r="AH175" s="41"/>
      <c r="AI175" s="41"/>
      <c r="AJ175" s="41"/>
      <c r="AK175" s="41"/>
      <c r="AL175" s="41"/>
      <c r="AM175" s="41"/>
      <c r="AN175" s="41"/>
      <c r="AO175" s="41"/>
    </row>
    <row r="176" spans="30:41" x14ac:dyDescent="0.15">
      <c r="AD176" s="41"/>
      <c r="AE176" s="41"/>
      <c r="AF176" s="41"/>
      <c r="AG176" s="41"/>
      <c r="AH176" s="41"/>
      <c r="AI176" s="41"/>
      <c r="AJ176" s="41"/>
      <c r="AK176" s="41"/>
      <c r="AL176" s="41"/>
      <c r="AM176" s="41"/>
      <c r="AN176" s="41"/>
      <c r="AO176" s="41"/>
    </row>
    <row r="177" spans="30:41" x14ac:dyDescent="0.15">
      <c r="AD177" s="41"/>
      <c r="AE177" s="41"/>
      <c r="AF177" s="41"/>
      <c r="AG177" s="41"/>
      <c r="AH177" s="41"/>
      <c r="AI177" s="41"/>
      <c r="AJ177" s="41"/>
      <c r="AK177" s="41"/>
      <c r="AL177" s="41"/>
      <c r="AM177" s="41"/>
      <c r="AN177" s="41"/>
      <c r="AO177" s="41"/>
    </row>
    <row r="178" spans="30:41" x14ac:dyDescent="0.15">
      <c r="AD178" s="41"/>
      <c r="AE178" s="41"/>
      <c r="AF178" s="41"/>
      <c r="AG178" s="41"/>
      <c r="AH178" s="41"/>
      <c r="AI178" s="41"/>
      <c r="AJ178" s="41"/>
      <c r="AK178" s="41"/>
      <c r="AL178" s="41"/>
      <c r="AM178" s="41"/>
      <c r="AN178" s="41"/>
      <c r="AO178" s="41"/>
    </row>
    <row r="179" spans="30:41" x14ac:dyDescent="0.15">
      <c r="AD179" s="41"/>
      <c r="AE179" s="41"/>
      <c r="AF179" s="41"/>
      <c r="AG179" s="41"/>
      <c r="AH179" s="41"/>
      <c r="AI179" s="41"/>
      <c r="AJ179" s="41"/>
      <c r="AK179" s="41"/>
      <c r="AL179" s="41"/>
      <c r="AM179" s="41"/>
      <c r="AN179" s="41"/>
      <c r="AO179" s="41"/>
    </row>
    <row r="180" spans="30:41" x14ac:dyDescent="0.15">
      <c r="AD180" s="41"/>
      <c r="AE180" s="41"/>
      <c r="AF180" s="41"/>
      <c r="AG180" s="41"/>
      <c r="AH180" s="41"/>
      <c r="AI180" s="41"/>
      <c r="AJ180" s="41"/>
      <c r="AK180" s="41"/>
      <c r="AL180" s="41"/>
      <c r="AM180" s="41"/>
      <c r="AN180" s="41"/>
      <c r="AO180" s="41"/>
    </row>
    <row r="181" spans="30:41" x14ac:dyDescent="0.15">
      <c r="AD181" s="41"/>
      <c r="AE181" s="41"/>
      <c r="AF181" s="41"/>
      <c r="AG181" s="41"/>
      <c r="AH181" s="41"/>
      <c r="AI181" s="41"/>
      <c r="AJ181" s="41"/>
      <c r="AK181" s="41"/>
      <c r="AL181" s="41"/>
      <c r="AM181" s="41"/>
      <c r="AN181" s="41"/>
      <c r="AO181" s="41"/>
    </row>
    <row r="182" spans="30:41" x14ac:dyDescent="0.15">
      <c r="AD182" s="41"/>
      <c r="AE182" s="41"/>
      <c r="AF182" s="41"/>
      <c r="AG182" s="41"/>
      <c r="AH182" s="41"/>
      <c r="AI182" s="41"/>
      <c r="AJ182" s="41"/>
      <c r="AK182" s="41"/>
      <c r="AL182" s="41"/>
      <c r="AM182" s="41"/>
      <c r="AN182" s="41"/>
      <c r="AO182" s="41"/>
    </row>
    <row r="183" spans="30:41" x14ac:dyDescent="0.15">
      <c r="AD183" s="41"/>
      <c r="AE183" s="41"/>
      <c r="AF183" s="41"/>
      <c r="AG183" s="41"/>
      <c r="AH183" s="41"/>
      <c r="AI183" s="41"/>
      <c r="AJ183" s="41"/>
      <c r="AK183" s="41"/>
      <c r="AL183" s="41"/>
      <c r="AM183" s="41"/>
      <c r="AN183" s="41"/>
      <c r="AO183" s="41"/>
    </row>
    <row r="184" spans="30:41" x14ac:dyDescent="0.15">
      <c r="AD184" s="41"/>
      <c r="AE184" s="41"/>
      <c r="AF184" s="41"/>
      <c r="AG184" s="41"/>
      <c r="AH184" s="41"/>
      <c r="AI184" s="41"/>
      <c r="AJ184" s="41"/>
      <c r="AK184" s="41"/>
      <c r="AL184" s="41"/>
      <c r="AM184" s="41"/>
      <c r="AN184" s="41"/>
      <c r="AO184" s="41"/>
    </row>
    <row r="185" spans="30:41" x14ac:dyDescent="0.15">
      <c r="AD185" s="41"/>
      <c r="AE185" s="41"/>
      <c r="AF185" s="41"/>
      <c r="AG185" s="41"/>
      <c r="AH185" s="41"/>
      <c r="AI185" s="41"/>
      <c r="AJ185" s="41"/>
      <c r="AK185" s="41"/>
      <c r="AL185" s="41"/>
      <c r="AM185" s="41"/>
      <c r="AN185" s="41"/>
      <c r="AO185" s="41"/>
    </row>
    <row r="186" spans="30:41" x14ac:dyDescent="0.15">
      <c r="AD186" s="41"/>
      <c r="AE186" s="41"/>
      <c r="AF186" s="41"/>
      <c r="AG186" s="41"/>
      <c r="AH186" s="41"/>
      <c r="AI186" s="41"/>
      <c r="AJ186" s="41"/>
      <c r="AK186" s="41"/>
      <c r="AL186" s="41"/>
      <c r="AM186" s="41"/>
      <c r="AN186" s="41"/>
      <c r="AO186" s="41"/>
    </row>
    <row r="187" spans="30:41" x14ac:dyDescent="0.15">
      <c r="AD187" s="41"/>
      <c r="AE187" s="41"/>
      <c r="AF187" s="41"/>
      <c r="AG187" s="41"/>
      <c r="AH187" s="41"/>
      <c r="AI187" s="41"/>
      <c r="AJ187" s="41"/>
      <c r="AK187" s="41"/>
      <c r="AL187" s="41"/>
      <c r="AM187" s="41"/>
      <c r="AN187" s="41"/>
      <c r="AO187" s="41"/>
    </row>
    <row r="188" spans="30:41" x14ac:dyDescent="0.15">
      <c r="AD188" s="41"/>
      <c r="AE188" s="41"/>
      <c r="AF188" s="41"/>
      <c r="AG188" s="41"/>
      <c r="AH188" s="41"/>
      <c r="AI188" s="41"/>
      <c r="AJ188" s="41"/>
      <c r="AK188" s="41"/>
      <c r="AL188" s="41"/>
      <c r="AM188" s="41"/>
      <c r="AN188" s="41"/>
      <c r="AO188" s="41"/>
    </row>
    <row r="189" spans="30:41" x14ac:dyDescent="0.15">
      <c r="AD189" s="41"/>
      <c r="AE189" s="41"/>
      <c r="AF189" s="41"/>
      <c r="AG189" s="41"/>
      <c r="AH189" s="41"/>
      <c r="AI189" s="41"/>
      <c r="AJ189" s="41"/>
      <c r="AK189" s="41"/>
      <c r="AL189" s="41"/>
      <c r="AM189" s="41"/>
      <c r="AN189" s="41"/>
      <c r="AO189" s="41"/>
    </row>
    <row r="190" spans="30:41" x14ac:dyDescent="0.15">
      <c r="AD190" s="41"/>
      <c r="AE190" s="41"/>
      <c r="AF190" s="41"/>
      <c r="AG190" s="41"/>
      <c r="AH190" s="41"/>
      <c r="AI190" s="41"/>
      <c r="AJ190" s="41"/>
      <c r="AK190" s="41"/>
      <c r="AL190" s="41"/>
      <c r="AM190" s="41"/>
      <c r="AN190" s="41"/>
      <c r="AO190" s="41"/>
    </row>
    <row r="191" spans="30:41" x14ac:dyDescent="0.15">
      <c r="AD191" s="41"/>
      <c r="AE191" s="41"/>
      <c r="AF191" s="41"/>
      <c r="AG191" s="41"/>
      <c r="AH191" s="41"/>
      <c r="AI191" s="41"/>
      <c r="AJ191" s="41"/>
      <c r="AK191" s="41"/>
      <c r="AL191" s="41"/>
      <c r="AM191" s="41"/>
      <c r="AN191" s="41"/>
      <c r="AO191" s="41"/>
    </row>
    <row r="192" spans="30:41" x14ac:dyDescent="0.15">
      <c r="AD192" s="41"/>
      <c r="AE192" s="41"/>
      <c r="AF192" s="41"/>
      <c r="AG192" s="41"/>
      <c r="AH192" s="41"/>
      <c r="AI192" s="41"/>
      <c r="AJ192" s="41"/>
      <c r="AK192" s="41"/>
      <c r="AL192" s="41"/>
      <c r="AM192" s="41"/>
      <c r="AN192" s="41"/>
      <c r="AO192" s="41"/>
    </row>
    <row r="193" spans="30:41" x14ac:dyDescent="0.15">
      <c r="AD193" s="41"/>
      <c r="AE193" s="41"/>
      <c r="AF193" s="41"/>
      <c r="AG193" s="41"/>
      <c r="AH193" s="41"/>
      <c r="AI193" s="41"/>
      <c r="AJ193" s="41"/>
      <c r="AK193" s="41"/>
      <c r="AL193" s="41"/>
      <c r="AM193" s="41"/>
      <c r="AN193" s="41"/>
      <c r="AO193" s="41"/>
    </row>
    <row r="194" spans="30:41" x14ac:dyDescent="0.15">
      <c r="AD194" s="41"/>
      <c r="AE194" s="41"/>
      <c r="AF194" s="41"/>
      <c r="AG194" s="41"/>
      <c r="AH194" s="41"/>
      <c r="AI194" s="41"/>
      <c r="AJ194" s="41"/>
      <c r="AK194" s="41"/>
      <c r="AL194" s="41"/>
      <c r="AM194" s="41"/>
      <c r="AN194" s="41"/>
      <c r="AO194" s="41"/>
    </row>
    <row r="195" spans="30:41" x14ac:dyDescent="0.15">
      <c r="AD195" s="41"/>
      <c r="AE195" s="41"/>
      <c r="AF195" s="41"/>
      <c r="AG195" s="41"/>
      <c r="AH195" s="41"/>
      <c r="AI195" s="41"/>
      <c r="AJ195" s="41"/>
      <c r="AK195" s="41"/>
      <c r="AL195" s="41"/>
      <c r="AM195" s="41"/>
      <c r="AN195" s="41"/>
      <c r="AO195" s="41"/>
    </row>
    <row r="196" spans="30:41" x14ac:dyDescent="0.15">
      <c r="AD196" s="41"/>
      <c r="AE196" s="41"/>
      <c r="AF196" s="41"/>
      <c r="AG196" s="41"/>
      <c r="AH196" s="41"/>
      <c r="AI196" s="41"/>
      <c r="AJ196" s="41"/>
      <c r="AK196" s="41"/>
      <c r="AL196" s="41"/>
      <c r="AM196" s="41"/>
      <c r="AN196" s="41"/>
      <c r="AO196" s="41"/>
    </row>
  </sheetData>
  <sheetProtection algorithmName="SHA-512" hashValue="FqOCFtk4XGO0Z3pON9Sreb+uw3/aiDxdxWQnKbBw2fJu3GpMajY4FYKyB0bBQjlpqzagrX0xCVa71W9vZmxsKA==" saltValue="hl7EJKjDcmH+frw4rRuLtQ==" spinCount="100000" sheet="1" formatRows="0"/>
  <customSheetViews>
    <customSheetView guid="{C17C9B4A-0866-4AA0-BC6D-B2274E9D30D3}" showGridLines="0" fitToPage="1" topLeftCell="A7">
      <selection activeCell="H25" sqref="H25:M25"/>
      <pageMargins left="0.7" right="0.7" top="0.5" bottom="0.5" header="0.3" footer="0.3"/>
      <pageSetup scale="88" fitToHeight="0" orientation="landscape" r:id="rId1"/>
    </customSheetView>
    <customSheetView guid="{6FDBC1BF-99FD-492F-9A38-B1FC9531BD14}" showGridLines="0" fitToPage="1" topLeftCell="A7">
      <selection activeCell="H25" sqref="H25:M25"/>
      <pageMargins left="0.7" right="0.7" top="0.5" bottom="0.5" header="0.3" footer="0.3"/>
      <pageSetup scale="88" fitToHeight="0" orientation="landscape" r:id="rId2"/>
    </customSheetView>
  </customSheetViews>
  <mergeCells count="65">
    <mergeCell ref="E47:G47"/>
    <mergeCell ref="H47:M47"/>
    <mergeCell ref="F42:G42"/>
    <mergeCell ref="H42:M42"/>
    <mergeCell ref="E43:G43"/>
    <mergeCell ref="H43:M43"/>
    <mergeCell ref="F46:G46"/>
    <mergeCell ref="H46:M46"/>
    <mergeCell ref="H39:M39"/>
    <mergeCell ref="E21:G21"/>
    <mergeCell ref="E23:G23"/>
    <mergeCell ref="E25:G25"/>
    <mergeCell ref="E27:G27"/>
    <mergeCell ref="F34:H34"/>
    <mergeCell ref="H25:M25"/>
    <mergeCell ref="E29:G29"/>
    <mergeCell ref="H29:M29"/>
    <mergeCell ref="E31:G31"/>
    <mergeCell ref="H31:M31"/>
    <mergeCell ref="E33:G33"/>
    <mergeCell ref="H33:M33"/>
    <mergeCell ref="B61:N61"/>
    <mergeCell ref="D2:L2"/>
    <mergeCell ref="B4:N4"/>
    <mergeCell ref="B6:N6"/>
    <mergeCell ref="D12:M12"/>
    <mergeCell ref="F14:G14"/>
    <mergeCell ref="D14:E14"/>
    <mergeCell ref="F10:G10"/>
    <mergeCell ref="H10:M10"/>
    <mergeCell ref="C3:N3"/>
    <mergeCell ref="D8:F8"/>
    <mergeCell ref="H36:M36"/>
    <mergeCell ref="E36:G36"/>
    <mergeCell ref="F38:G38"/>
    <mergeCell ref="H38:M38"/>
    <mergeCell ref="E39:G39"/>
    <mergeCell ref="P17:Q19"/>
    <mergeCell ref="F17:G17"/>
    <mergeCell ref="H17:J17"/>
    <mergeCell ref="B73:D73"/>
    <mergeCell ref="B72:N72"/>
    <mergeCell ref="B62:N62"/>
    <mergeCell ref="H21:M21"/>
    <mergeCell ref="H23:M23"/>
    <mergeCell ref="F35:G35"/>
    <mergeCell ref="B65:N65"/>
    <mergeCell ref="B71:N71"/>
    <mergeCell ref="C67:E67"/>
    <mergeCell ref="B64:N64"/>
    <mergeCell ref="H27:M27"/>
    <mergeCell ref="D19:G19"/>
    <mergeCell ref="H19:J19"/>
    <mergeCell ref="F49:G49"/>
    <mergeCell ref="H49:M49"/>
    <mergeCell ref="E50:G50"/>
    <mergeCell ref="H50:M50"/>
    <mergeCell ref="F53:G53"/>
    <mergeCell ref="H53:M53"/>
    <mergeCell ref="E54:G54"/>
    <mergeCell ref="H54:M54"/>
    <mergeCell ref="F57:G57"/>
    <mergeCell ref="H57:M57"/>
    <mergeCell ref="E58:G58"/>
    <mergeCell ref="H58:M58"/>
  </mergeCells>
  <conditionalFormatting sqref="B4:N4">
    <cfRule type="expression" dxfId="1336" priority="9">
      <formula>$B$4="Preliminary Site Visit Report"</formula>
    </cfRule>
  </conditionalFormatting>
  <conditionalFormatting sqref="B6:N6">
    <cfRule type="expression" dxfId="1335" priority="7">
      <formula>$B$4="Preliminary Site Visit Report"</formula>
    </cfRule>
  </conditionalFormatting>
  <conditionalFormatting sqref="B61:N61">
    <cfRule type="expression" dxfId="1334" priority="6">
      <formula>$B$4="Preliminary Site Visit Report"</formula>
    </cfRule>
  </conditionalFormatting>
  <conditionalFormatting sqref="B62:N62">
    <cfRule type="expression" dxfId="1333" priority="5">
      <formula>$B$4="Preliminary Site Visit Report"</formula>
    </cfRule>
  </conditionalFormatting>
  <conditionalFormatting sqref="D2:L2">
    <cfRule type="expression" dxfId="1332" priority="8">
      <formula>$B$4="Preliminary Site Visit Report"</formula>
    </cfRule>
  </conditionalFormatting>
  <conditionalFormatting sqref="D8:N8">
    <cfRule type="expression" dxfId="1331" priority="3">
      <formula>$D8="Paramedic"</formula>
    </cfRule>
    <cfRule type="expression" dxfId="1330" priority="4">
      <formula>$D8="AEMT"</formula>
    </cfRule>
  </conditionalFormatting>
  <conditionalFormatting sqref="H19:J19">
    <cfRule type="expression" dxfId="1329" priority="1">
      <formula>$D$19&lt;&gt;""</formula>
    </cfRule>
  </conditionalFormatting>
  <dataValidations count="6">
    <dataValidation type="list" allowBlank="1" showInputMessage="1" showErrorMessage="1" sqref="H39:M39 H43:M43 H47:M47 H50:M50 H54:M54 H58:M58" xr:uid="{00000000-0002-0000-0100-000002000000}">
      <formula1>"State Office of EMS, CoAEMSP Board Member, CoAEMSP Staff"</formula1>
    </dataValidation>
    <dataValidation type="list" allowBlank="1" showInputMessage="1" showErrorMessage="1" sqref="H19:J19" xr:uid="{00000000-0002-0000-0100-000005000000}">
      <formula1>"Please Select, Yes, No"</formula1>
    </dataValidation>
    <dataValidation type="list" allowBlank="1" showInputMessage="1" showErrorMessage="1" sqref="B4:N4" xr:uid="{00000000-0002-0000-0100-000006000000}">
      <formula1>"Preliminary Site Visit Report,Site Visit Report"</formula1>
    </dataValidation>
    <dataValidation type="list" allowBlank="1" showInputMessage="1" showErrorMessage="1" sqref="H10:M10" xr:uid="{00000000-0002-0000-0100-000007000000}">
      <formula1>"Seeking the CoAEMSP Letter of Review (LoR), Initial Accreditation, Continuing Accreditation"</formula1>
    </dataValidation>
    <dataValidation type="list" allowBlank="1" showInputMessage="1" showErrorMessage="1" sqref="H14" xr:uid="{864D675F-49FC-4758-AF14-3B9A8F29C70C}">
      <formula1>"AK, AL, AR, AZ, CA, CO, CT, DC, DE, FL, GA, HI, IA, ID, IL, IN, KS, KY, LA, MA, MD, ME, MI, MN, MO, MS, MT, NC, ND, NE, NH, NJ, NM, NV, NY, OH, OK, OR, PA, RI, SC, SD, TN, TX, UT, VA, VT, WA, WI, WV, WY"</formula1>
    </dataValidation>
    <dataValidation type="list" allowBlank="1" showInputMessage="1" showErrorMessage="1" sqref="D8" xr:uid="{A1CA2CB4-64AC-4A1B-909E-1DB078D33601}">
      <formula1>"Please Select,AEMT, Paramedic"</formula1>
    </dataValidation>
  </dataValidations>
  <hyperlinks>
    <hyperlink ref="C69" r:id="rId3" display="mailto:jennifer@coaemsp.org" xr:uid="{00000000-0004-0000-0100-000000000000}"/>
  </hyperlinks>
  <pageMargins left="0.7" right="0.7" top="0.5" bottom="0.5" header="0.3" footer="0.3"/>
  <pageSetup scale="83" fitToHeight="0"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8"/>
    <pageSetUpPr fitToPage="1"/>
  </sheetPr>
  <dimension ref="B1:DA411"/>
  <sheetViews>
    <sheetView showGridLines="0" tabSelected="1" zoomScaleNormal="100" workbookViewId="0">
      <pane ySplit="6" topLeftCell="A7" activePane="bottomLeft" state="frozen"/>
      <selection activeCell="B35" sqref="B35:N38"/>
      <selection pane="bottomLeft" activeCell="C5" sqref="C5:D5"/>
    </sheetView>
  </sheetViews>
  <sheetFormatPr baseColWidth="10" defaultColWidth="8.83203125" defaultRowHeight="14" x14ac:dyDescent="0.15"/>
  <cols>
    <col min="1" max="1" width="3.6640625" customWidth="1"/>
    <col min="2" max="2" width="12.6640625" customWidth="1"/>
    <col min="3" max="3" width="13.6640625" customWidth="1"/>
    <col min="4" max="4" width="5.6640625" customWidth="1"/>
    <col min="5" max="5" width="13.6640625" customWidth="1"/>
    <col min="6" max="6" width="12.6640625" customWidth="1"/>
    <col min="7" max="7" width="10" customWidth="1"/>
    <col min="8" max="8" width="9.1640625" customWidth="1"/>
    <col min="9" max="9" width="35.6640625" customWidth="1"/>
    <col min="10" max="10" width="18.6640625" customWidth="1"/>
    <col min="11" max="11" width="15.6640625" customWidth="1"/>
    <col min="12" max="12" width="17.6640625" customWidth="1"/>
    <col min="13" max="13" width="3.83203125" style="19" customWidth="1"/>
    <col min="14" max="14" width="85.83203125" style="51" hidden="1" customWidth="1"/>
    <col min="15" max="15" width="10.6640625" style="19" customWidth="1"/>
    <col min="16" max="16" width="8.6640625" style="19" customWidth="1"/>
    <col min="17" max="17" width="12.6640625" style="19" customWidth="1"/>
    <col min="18" max="18" width="10.6640625" style="19" customWidth="1"/>
    <col min="19" max="19" width="8.6640625" style="19" customWidth="1"/>
    <col min="20" max="20" width="12.6640625" style="19" customWidth="1"/>
    <col min="21" max="21" width="10.6640625" style="19" customWidth="1"/>
    <col min="22" max="22" width="8.6640625" style="19" customWidth="1"/>
    <col min="23" max="23" width="12.6640625" style="19" customWidth="1"/>
    <col min="24" max="24" width="10.6640625" style="19" customWidth="1"/>
    <col min="25" max="25" width="8.6640625" style="19" customWidth="1"/>
    <col min="26" max="26" width="12.6640625" style="19" customWidth="1"/>
    <col min="27" max="27" width="10.6640625" style="19" customWidth="1"/>
    <col min="28" max="28" width="8.6640625" style="19" customWidth="1"/>
    <col min="29" max="29" width="12.6640625" style="19" customWidth="1"/>
    <col min="30" max="30" width="10.6640625" style="19" customWidth="1"/>
    <col min="31" max="31" width="8.6640625" style="19" customWidth="1"/>
    <col min="32" max="105" width="8.83203125" style="19"/>
  </cols>
  <sheetData>
    <row r="1" spans="2:105" ht="7.5" customHeight="1" x14ac:dyDescent="0.15">
      <c r="I1" s="1"/>
      <c r="J1" s="1"/>
    </row>
    <row r="2" spans="2:105" ht="50" customHeight="1" x14ac:dyDescent="0.15">
      <c r="B2" s="666" t="str">
        <f>IF('Cover Page'!B4="Preliminary Site Visit Report","PRELIMINARY SITE VISIT REPORT FINDINGS","    SITE VISIT REPORT FINDINGS")</f>
        <v xml:space="preserve">    SITE VISIT REPORT FINDINGS</v>
      </c>
      <c r="C2" s="667"/>
      <c r="D2" s="667"/>
      <c r="E2" s="667"/>
      <c r="F2" s="667"/>
      <c r="G2" s="667"/>
      <c r="H2" s="667"/>
      <c r="I2" s="667"/>
      <c r="J2" s="667"/>
      <c r="K2" s="667"/>
      <c r="L2" s="668"/>
      <c r="N2" s="722" t="s">
        <v>792</v>
      </c>
    </row>
    <row r="3" spans="2:105" ht="36.75" customHeight="1" x14ac:dyDescent="0.2">
      <c r="B3" s="168"/>
      <c r="C3" s="169"/>
      <c r="D3" s="169"/>
      <c r="E3" s="170">
        <f>'Cover Page'!D10</f>
        <v>0</v>
      </c>
      <c r="F3" s="565">
        <f>'Cover Page'!D12</f>
        <v>0</v>
      </c>
      <c r="G3" s="565"/>
      <c r="H3" s="565"/>
      <c r="I3" s="565"/>
      <c r="J3" s="565"/>
      <c r="K3" s="565"/>
      <c r="L3" s="171"/>
      <c r="N3" s="723"/>
    </row>
    <row r="4" spans="2:105" ht="23.25" customHeight="1" x14ac:dyDescent="0.15">
      <c r="B4" s="579" t="s">
        <v>458</v>
      </c>
      <c r="C4" s="580"/>
      <c r="D4" s="580"/>
      <c r="E4" s="580"/>
      <c r="F4" s="580"/>
      <c r="G4" s="580"/>
      <c r="H4" s="580"/>
      <c r="I4" s="580"/>
      <c r="J4" s="580"/>
      <c r="K4" s="580"/>
      <c r="L4" s="581"/>
      <c r="N4" s="723"/>
    </row>
    <row r="5" spans="2:105" s="2" customFormat="1" ht="30.75" customHeight="1" x14ac:dyDescent="0.15">
      <c r="B5" s="172" t="s">
        <v>84</v>
      </c>
      <c r="C5" s="591" t="s">
        <v>440</v>
      </c>
      <c r="D5" s="591"/>
      <c r="E5" s="592" t="s">
        <v>121</v>
      </c>
      <c r="F5" s="592"/>
      <c r="G5" s="592" t="s">
        <v>122</v>
      </c>
      <c r="H5" s="592"/>
      <c r="I5" s="173" t="s">
        <v>123</v>
      </c>
      <c r="J5" s="173" t="s">
        <v>459</v>
      </c>
      <c r="K5" s="589"/>
      <c r="L5" s="590"/>
      <c r="M5" s="53"/>
      <c r="N5" s="72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row>
    <row r="6" spans="2:105" ht="30" customHeight="1" x14ac:dyDescent="0.15">
      <c r="B6" s="299" t="s">
        <v>10</v>
      </c>
      <c r="C6" s="578" t="s">
        <v>11</v>
      </c>
      <c r="D6" s="578"/>
      <c r="E6" s="578"/>
      <c r="F6" s="578"/>
      <c r="G6" s="300" t="s">
        <v>898</v>
      </c>
      <c r="H6" s="321" t="s">
        <v>900</v>
      </c>
      <c r="I6" s="300" t="s">
        <v>210</v>
      </c>
      <c r="J6" s="598" t="s">
        <v>787</v>
      </c>
      <c r="K6" s="598"/>
      <c r="L6" s="599"/>
      <c r="N6" s="723"/>
    </row>
    <row r="7" spans="2:105" s="146" customFormat="1" ht="27" customHeight="1" x14ac:dyDescent="0.15">
      <c r="B7" s="582" t="str">
        <f>IF('Cover Page'!$D$8&lt;&gt;"Please Select",'Cover Page'!$D$8, "Select Program Level on the Cover Page tab")</f>
        <v>Select Program Level on the Cover Page tab</v>
      </c>
      <c r="C7" s="583"/>
      <c r="D7" s="583"/>
      <c r="E7" s="583"/>
      <c r="F7" s="583"/>
      <c r="G7" s="583"/>
      <c r="H7" s="583"/>
      <c r="I7" s="583"/>
      <c r="J7" s="583"/>
      <c r="K7" s="583"/>
      <c r="L7" s="584"/>
      <c r="N7" s="268"/>
      <c r="Q7" s="147"/>
    </row>
    <row r="8" spans="2:105" s="146" customFormat="1" ht="20.25" customHeight="1" x14ac:dyDescent="0.15">
      <c r="B8" s="585" t="s">
        <v>12</v>
      </c>
      <c r="C8" s="586"/>
      <c r="D8" s="586"/>
      <c r="E8" s="586"/>
      <c r="F8" s="586"/>
      <c r="G8" s="586"/>
      <c r="H8" s="586"/>
      <c r="I8" s="586"/>
      <c r="J8" s="586"/>
      <c r="K8" s="586"/>
      <c r="L8" s="587"/>
      <c r="M8" s="147" t="s">
        <v>640</v>
      </c>
      <c r="N8" s="269" t="s">
        <v>641</v>
      </c>
      <c r="O8" s="147" t="s">
        <v>100</v>
      </c>
      <c r="P8" s="147" t="s">
        <v>639</v>
      </c>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147"/>
      <c r="BX8" s="147"/>
      <c r="BY8" s="147"/>
      <c r="BZ8" s="147"/>
      <c r="CA8" s="147"/>
      <c r="CB8" s="147"/>
      <c r="CC8" s="147"/>
      <c r="CD8" s="147"/>
      <c r="CE8" s="147"/>
      <c r="CF8" s="147"/>
      <c r="CG8" s="147"/>
      <c r="CH8" s="147"/>
      <c r="CI8" s="147"/>
      <c r="CJ8" s="147"/>
      <c r="CK8" s="147"/>
      <c r="CL8" s="147"/>
      <c r="CM8" s="147"/>
      <c r="CN8" s="147"/>
      <c r="CO8" s="147"/>
      <c r="CP8" s="147"/>
      <c r="CQ8" s="147"/>
      <c r="CR8" s="147"/>
      <c r="CS8" s="147"/>
      <c r="CT8" s="147"/>
      <c r="CU8" s="147"/>
      <c r="CV8" s="147"/>
      <c r="CW8" s="147"/>
      <c r="CX8" s="147"/>
      <c r="CY8" s="147"/>
      <c r="CZ8" s="147"/>
      <c r="DA8" s="147"/>
    </row>
    <row r="9" spans="2:105" s="146" customFormat="1" ht="20.25" customHeight="1" x14ac:dyDescent="0.15">
      <c r="B9" s="494" t="s">
        <v>460</v>
      </c>
      <c r="C9" s="495"/>
      <c r="D9" s="495"/>
      <c r="E9" s="495"/>
      <c r="F9" s="495"/>
      <c r="G9" s="495"/>
      <c r="H9" s="495"/>
      <c r="I9" s="495"/>
      <c r="J9" s="495"/>
      <c r="K9" s="495"/>
      <c r="L9" s="496"/>
      <c r="M9" s="147"/>
      <c r="N9" s="269"/>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c r="BW9" s="147"/>
      <c r="BX9" s="147"/>
      <c r="BY9" s="147"/>
      <c r="BZ9" s="147"/>
      <c r="CA9" s="147"/>
      <c r="CB9" s="147"/>
      <c r="CC9" s="147"/>
      <c r="CD9" s="147"/>
      <c r="CE9" s="147"/>
      <c r="CF9" s="147"/>
      <c r="CG9" s="147"/>
      <c r="CH9" s="147"/>
      <c r="CI9" s="147"/>
      <c r="CJ9" s="147"/>
      <c r="CK9" s="147"/>
      <c r="CL9" s="147"/>
      <c r="CM9" s="147"/>
      <c r="CN9" s="147"/>
      <c r="CO9" s="147"/>
      <c r="CP9" s="147"/>
      <c r="CQ9" s="147"/>
      <c r="CR9" s="147"/>
      <c r="CS9" s="147"/>
      <c r="CT9" s="147"/>
      <c r="CU9" s="147"/>
      <c r="CV9" s="147"/>
      <c r="CW9" s="147"/>
      <c r="CX9" s="147"/>
      <c r="CY9" s="147"/>
      <c r="CZ9" s="147"/>
      <c r="DA9" s="147"/>
    </row>
    <row r="10" spans="2:105" s="146" customFormat="1" ht="30.75" customHeight="1" x14ac:dyDescent="0.15">
      <c r="B10" s="190" t="s">
        <v>85</v>
      </c>
      <c r="C10" s="594" t="s">
        <v>730</v>
      </c>
      <c r="D10" s="595"/>
      <c r="E10" s="595"/>
      <c r="F10" s="596"/>
      <c r="G10" s="148"/>
      <c r="I10" s="149"/>
      <c r="J10" s="597"/>
      <c r="K10" s="597"/>
      <c r="L10" s="597"/>
      <c r="M10" s="147"/>
      <c r="N10" s="269"/>
      <c r="O10" s="147"/>
      <c r="P10" s="147"/>
      <c r="Q10" s="147"/>
      <c r="R10" s="147"/>
      <c r="S10" s="147"/>
      <c r="T10" s="147"/>
      <c r="U10" s="147"/>
      <c r="V10" s="147"/>
      <c r="W10" s="147"/>
      <c r="X10" s="147"/>
      <c r="Y10" s="147"/>
      <c r="Z10" s="147"/>
      <c r="AA10" s="147" t="s">
        <v>212</v>
      </c>
      <c r="AB10" s="147" t="s">
        <v>213</v>
      </c>
      <c r="AC10" s="147" t="s">
        <v>465</v>
      </c>
      <c r="AD10" s="147" t="s">
        <v>464</v>
      </c>
      <c r="AE10" s="147" t="s">
        <v>215</v>
      </c>
      <c r="AF10" s="147" t="s">
        <v>462</v>
      </c>
      <c r="AG10" s="147" t="s">
        <v>463</v>
      </c>
      <c r="AH10" s="147" t="s">
        <v>466</v>
      </c>
      <c r="AI10" s="147" t="s">
        <v>467</v>
      </c>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7"/>
      <c r="BZ10" s="147"/>
      <c r="CA10" s="147"/>
      <c r="CB10" s="147"/>
      <c r="CC10" s="147"/>
      <c r="CD10" s="147"/>
      <c r="CE10" s="147"/>
      <c r="CF10" s="147"/>
      <c r="CG10" s="147"/>
      <c r="CH10" s="147"/>
      <c r="CI10" s="147"/>
      <c r="CJ10" s="147"/>
      <c r="CK10" s="147"/>
      <c r="CL10" s="147"/>
      <c r="CM10" s="147"/>
      <c r="CN10" s="147"/>
      <c r="CO10" s="147"/>
      <c r="CP10" s="147"/>
      <c r="CQ10" s="147"/>
      <c r="CR10" s="147"/>
      <c r="CS10" s="147"/>
      <c r="CT10" s="147"/>
      <c r="CU10" s="147"/>
      <c r="CV10" s="147"/>
      <c r="CW10" s="147"/>
      <c r="CX10" s="147"/>
      <c r="CY10" s="147"/>
      <c r="CZ10" s="147"/>
      <c r="DA10" s="147"/>
    </row>
    <row r="11" spans="2:105" ht="42.75" customHeight="1" x14ac:dyDescent="0.15">
      <c r="B11" s="454" t="s">
        <v>19</v>
      </c>
      <c r="C11" s="603" t="s">
        <v>212</v>
      </c>
      <c r="D11" s="604"/>
      <c r="E11" s="604"/>
      <c r="F11" s="604"/>
      <c r="G11" s="613"/>
      <c r="H11" s="416"/>
      <c r="I11" s="607" t="s">
        <v>899</v>
      </c>
      <c r="J11" s="459"/>
      <c r="K11" s="460"/>
      <c r="L11" s="461"/>
      <c r="N11" s="481" t="s">
        <v>757</v>
      </c>
      <c r="Q11" s="19" t="str">
        <f>IF(LEFT(C11,5)="I.A.1", "Standard I.A.1. Post-secondary Inst",IF(LEFT(C11,5)="I.A.2", "Standard I.A.2. Post-secondary Inst outside U.S.",IF(LEFT(C11,5)="I.A.3", "Standard I.A.3. Hosp, Clinic, or Med Ctr",IF(LEFT(C11,5)="I.A.4", "Governmental/municipal or branch of U.S. Armed Forces",IF(LEFT(C11,5)="I.A.5", "Standard I.A.5. Consortium","Standard I.A. Sponsorship")))))</f>
        <v>Standard I.A. Sponsorship</v>
      </c>
    </row>
    <row r="12" spans="2:105" ht="29" customHeight="1" x14ac:dyDescent="0.15">
      <c r="B12" s="456"/>
      <c r="C12" s="605"/>
      <c r="D12" s="606"/>
      <c r="E12" s="606"/>
      <c r="F12" s="606"/>
      <c r="G12" s="614"/>
      <c r="H12" s="609"/>
      <c r="I12" s="608"/>
      <c r="J12" s="610"/>
      <c r="K12" s="611"/>
      <c r="L12" s="612"/>
      <c r="N12" s="481"/>
    </row>
    <row r="13" spans="2:105" ht="47.25" customHeight="1" x14ac:dyDescent="0.15">
      <c r="B13" s="600" t="str">
        <f>IF(LEFT(C11,5)="I.A.5", "I.A.5", "N/A")</f>
        <v>N/A</v>
      </c>
      <c r="C13" s="601" t="str">
        <f>IF(LEFT(C11,5)="I.A.5", "Entity consisting of 2 or more members with at least one member meets I.A.", "")</f>
        <v/>
      </c>
      <c r="D13" s="601"/>
      <c r="E13" s="601"/>
      <c r="F13" s="601"/>
      <c r="G13" s="414"/>
      <c r="H13" s="615"/>
      <c r="I13" s="446" t="str">
        <f>IF(LEFT(C11,5)="I.A.5","Valid institutional accreditation. [All I.A.1 or I.A.3 sponsors]", "")</f>
        <v/>
      </c>
      <c r="J13" s="602"/>
      <c r="K13" s="602"/>
      <c r="L13" s="602"/>
      <c r="N13" s="481" t="s">
        <v>704</v>
      </c>
      <c r="Q13" s="19" t="s">
        <v>461</v>
      </c>
    </row>
    <row r="14" spans="2:105" ht="52.5" customHeight="1" x14ac:dyDescent="0.15">
      <c r="B14" s="600"/>
      <c r="C14" s="593" t="str">
        <f>IF(LEFT(C11,5)="I.A.5", "Site Visit Team:  Please complete the Consortium Addendum and the end of this tab.", "")</f>
        <v/>
      </c>
      <c r="D14" s="593"/>
      <c r="E14" s="593"/>
      <c r="F14" s="593"/>
      <c r="G14" s="414"/>
      <c r="H14" s="506"/>
      <c r="I14" s="446"/>
      <c r="J14" s="602"/>
      <c r="K14" s="602"/>
      <c r="L14" s="602"/>
      <c r="N14" s="481"/>
    </row>
    <row r="15" spans="2:105" ht="80.25" customHeight="1" x14ac:dyDescent="0.15">
      <c r="B15" s="266" t="str">
        <f>IF(LEFT(C11,5)="I.A.5", "I.A.5", "N/A")</f>
        <v>N/A</v>
      </c>
      <c r="C15" s="601" t="str">
        <f>IF(LEFT(C11,5)="I.A.5", "Clearly documented with a formal affiliation agreement or memorandum of understanding, including governance and lines of authority", "")</f>
        <v/>
      </c>
      <c r="D15" s="601"/>
      <c r="E15" s="601"/>
      <c r="F15" s="601"/>
      <c r="G15" s="277"/>
      <c r="H15" s="258"/>
      <c r="I15" s="259" t="str">
        <f>IF(LEFT(C11,5)="I.A.5", "Affiliation agreement or Memorandum of Understanding [All I.A.2, I.A.3, I.A.4, and I.A.5 sponsors or I.A.1 sponsors that do not award college credit for the program]", "")</f>
        <v/>
      </c>
      <c r="J15" s="694"/>
      <c r="K15" s="694"/>
      <c r="L15" s="694"/>
      <c r="N15" s="287" t="s">
        <v>731</v>
      </c>
      <c r="Q15" s="19" t="s">
        <v>461</v>
      </c>
    </row>
    <row r="16" spans="2:105" ht="20.25" customHeight="1" x14ac:dyDescent="0.15">
      <c r="B16" s="448" t="s">
        <v>468</v>
      </c>
      <c r="C16" s="449"/>
      <c r="D16" s="449"/>
      <c r="E16" s="449"/>
      <c r="F16" s="449"/>
      <c r="G16" s="449"/>
      <c r="H16" s="449"/>
      <c r="I16" s="449"/>
      <c r="J16" s="449"/>
      <c r="K16" s="449"/>
      <c r="L16" s="450"/>
    </row>
    <row r="17" spans="2:105" ht="37.5" customHeight="1" x14ac:dyDescent="0.15">
      <c r="B17" s="243" t="s">
        <v>469</v>
      </c>
      <c r="C17" s="588" t="s">
        <v>444</v>
      </c>
      <c r="D17" s="588"/>
      <c r="E17" s="588"/>
      <c r="F17" s="588"/>
      <c r="G17" s="244"/>
      <c r="H17" s="642"/>
      <c r="I17" s="643"/>
      <c r="J17" s="572"/>
      <c r="K17" s="573"/>
      <c r="L17" s="574"/>
      <c r="N17" s="287" t="s">
        <v>774</v>
      </c>
      <c r="Q17" s="19" t="s">
        <v>798</v>
      </c>
    </row>
    <row r="18" spans="2:105" ht="54" customHeight="1" x14ac:dyDescent="0.15">
      <c r="B18" s="243" t="s">
        <v>470</v>
      </c>
      <c r="C18" s="588" t="s">
        <v>472</v>
      </c>
      <c r="D18" s="588"/>
      <c r="E18" s="588"/>
      <c r="F18" s="588"/>
      <c r="G18" s="244"/>
      <c r="H18" s="183"/>
      <c r="I18" s="184" t="s">
        <v>638</v>
      </c>
      <c r="J18" s="572"/>
      <c r="K18" s="573"/>
      <c r="L18" s="574"/>
      <c r="N18" s="287" t="s">
        <v>642</v>
      </c>
      <c r="Q18" s="19" t="s">
        <v>799</v>
      </c>
    </row>
    <row r="19" spans="2:105" ht="62.25" customHeight="1" x14ac:dyDescent="0.15">
      <c r="B19" s="191" t="s">
        <v>471</v>
      </c>
      <c r="C19" s="588" t="s">
        <v>535</v>
      </c>
      <c r="D19" s="588"/>
      <c r="E19" s="588"/>
      <c r="F19" s="588"/>
      <c r="G19" s="244"/>
      <c r="H19" s="183"/>
      <c r="I19" s="184" t="s">
        <v>637</v>
      </c>
      <c r="J19" s="572"/>
      <c r="K19" s="573"/>
      <c r="L19" s="574"/>
      <c r="N19" s="288" t="s">
        <v>643</v>
      </c>
      <c r="Q19" s="19" t="s">
        <v>800</v>
      </c>
    </row>
    <row r="20" spans="2:105" s="146" customFormat="1" ht="27" customHeight="1" x14ac:dyDescent="0.15">
      <c r="B20" s="582" t="str">
        <f>IF('Cover Page'!$D$8&lt;&gt;"Please Select",'Cover Page'!$D$8, "Select Program Level on the Cover Page tab")</f>
        <v>Select Program Level on the Cover Page tab</v>
      </c>
      <c r="C20" s="583"/>
      <c r="D20" s="583"/>
      <c r="E20" s="583"/>
      <c r="F20" s="583"/>
      <c r="G20" s="583"/>
      <c r="H20" s="583"/>
      <c r="I20" s="583"/>
      <c r="J20" s="583"/>
      <c r="K20" s="583"/>
      <c r="L20" s="584"/>
      <c r="N20" s="268"/>
      <c r="Q20" s="147"/>
    </row>
    <row r="21" spans="2:105" ht="20.25" customHeight="1" x14ac:dyDescent="0.15">
      <c r="B21" s="585" t="s">
        <v>13</v>
      </c>
      <c r="C21" s="586"/>
      <c r="D21" s="586"/>
      <c r="E21" s="586"/>
      <c r="F21" s="586"/>
      <c r="G21" s="586"/>
      <c r="H21" s="586"/>
      <c r="I21" s="586"/>
      <c r="J21" s="586"/>
      <c r="K21" s="586"/>
      <c r="L21" s="587"/>
    </row>
    <row r="22" spans="2:105" ht="20.25" customHeight="1" x14ac:dyDescent="0.15">
      <c r="B22" s="494" t="s">
        <v>473</v>
      </c>
      <c r="C22" s="495"/>
      <c r="D22" s="495"/>
      <c r="E22" s="495"/>
      <c r="F22" s="495"/>
      <c r="G22" s="495"/>
      <c r="H22" s="495"/>
      <c r="I22" s="495"/>
      <c r="J22" s="495"/>
      <c r="K22" s="495"/>
      <c r="L22" s="496"/>
    </row>
    <row r="23" spans="2:105" s="200" customFormat="1" ht="134.25" customHeight="1" x14ac:dyDescent="0.15">
      <c r="B23" s="192" t="str">
        <f>IF('Cover Page'!$D$8="AEMT","II.A.2",IF('Cover Page'!$D$8="Paramedic","II.A.1","II.A.1. &amp; 2."))</f>
        <v>II.A.1. &amp; 2.</v>
      </c>
      <c r="C23" s="636" t="str">
        <f>IF('Cover Page'!D8="AEMT","Following goal(s) defining minimum expectations for AEMT: 
'To prepare Advanced Emergency Medical Technicians who are competent in the cognitive (knowledge), psychomotor (skills), and affective (behavior) learning domains to enter the profession'.",IF('Cover Page'!D8="Paramedic", "Following goal(s) defining minimun expectations for Paramedic:
'To prepare Paramedics who are competent in the cognitive (knowledge), psychomotor (skills), and affective (behavior) learning domains to enter the profession.'","'To prepare Advanced Emergency Medial Technicians / Paramedics who are competent in the cognitive (knowledge), psychomotor (skills), and affective (behavior) learning domains to enter the profession.'"))</f>
        <v>'To prepare Advanced Emergency Medial Technicians / Paramedics who are competent in the cognitive (knowledge), psychomotor (skills), and affective (behavior) learning domains to enter the profession.'</v>
      </c>
      <c r="D23" s="637"/>
      <c r="E23" s="637"/>
      <c r="F23" s="638"/>
      <c r="G23" s="193"/>
      <c r="H23" s="272"/>
      <c r="I23" s="308" t="s">
        <v>618</v>
      </c>
      <c r="J23" s="575"/>
      <c r="K23" s="576"/>
      <c r="L23" s="577"/>
      <c r="N23" s="287" t="s">
        <v>644</v>
      </c>
      <c r="Q23" s="19" t="str">
        <f>"Standard "&amp; B23 &amp;" Program Goals and Minimum Expectations"</f>
        <v>Standard II.A.1. &amp; 2. Program Goals and Minimum Expectations</v>
      </c>
    </row>
    <row r="24" spans="2:105" s="195" customFormat="1" ht="60" customHeight="1" x14ac:dyDescent="0.15">
      <c r="B24" s="628" t="str">
        <f>IF('Cover Page'!$D$8="AEMT","II.A.2",IF('Cover Page'!$D$8="Paramedic","II.A.1","II.A.1. &amp; 2."))</f>
        <v>II.A.1. &amp; 2.</v>
      </c>
      <c r="C24" s="636" t="s">
        <v>142</v>
      </c>
      <c r="D24" s="637"/>
      <c r="E24" s="637"/>
      <c r="F24" s="638"/>
      <c r="G24" s="633"/>
      <c r="H24" s="470"/>
      <c r="I24" s="631" t="s">
        <v>619</v>
      </c>
      <c r="J24" s="725"/>
      <c r="K24" s="725"/>
      <c r="L24" s="726"/>
      <c r="M24" s="19"/>
      <c r="N24" s="284" t="s">
        <v>765</v>
      </c>
      <c r="O24" s="196"/>
      <c r="P24" s="196"/>
      <c r="Q24" s="196" t="str">
        <f>"Standard "&amp; B24 &amp;" Program Goals and Minimum Expectations"</f>
        <v>Standard II.A.1. &amp; 2. Program Goals and Minimum Expectations</v>
      </c>
      <c r="R24" s="196"/>
      <c r="S24" s="196"/>
      <c r="T24" s="196"/>
      <c r="U24" s="196"/>
      <c r="V24" s="196"/>
      <c r="W24" s="196"/>
      <c r="X24" s="196"/>
      <c r="Y24" s="196"/>
      <c r="Z24" s="196"/>
      <c r="AA24" s="196"/>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c r="CP24" s="196"/>
      <c r="CQ24" s="196"/>
      <c r="CR24" s="196"/>
      <c r="CS24" s="196"/>
      <c r="CT24" s="196"/>
      <c r="CU24" s="196"/>
      <c r="CV24" s="196"/>
      <c r="CW24" s="196"/>
      <c r="CX24" s="196"/>
      <c r="CY24" s="196"/>
      <c r="CZ24" s="196"/>
      <c r="DA24" s="196"/>
    </row>
    <row r="25" spans="2:105" s="195" customFormat="1" ht="45.75" customHeight="1" x14ac:dyDescent="0.15">
      <c r="B25" s="629"/>
      <c r="C25" s="639"/>
      <c r="D25" s="640"/>
      <c r="E25" s="640"/>
      <c r="F25" s="641"/>
      <c r="G25" s="634"/>
      <c r="H25" s="470"/>
      <c r="I25" s="632"/>
      <c r="J25" s="727"/>
      <c r="K25" s="728"/>
      <c r="L25" s="729"/>
      <c r="M25" s="19"/>
      <c r="N25" s="457" t="s">
        <v>705</v>
      </c>
      <c r="O25" s="196"/>
      <c r="P25" s="196"/>
      <c r="Q25" s="196" t="str">
        <f>"Standard "&amp; B23 &amp;" Program Goals and Minimum Expectations"</f>
        <v>Standard II.A.1. &amp; 2. Program Goals and Minimum Expectations</v>
      </c>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6"/>
      <c r="BU25" s="196"/>
      <c r="BV25" s="196"/>
      <c r="BW25" s="196"/>
      <c r="BX25" s="196"/>
      <c r="BY25" s="196"/>
      <c r="BZ25" s="196"/>
      <c r="CA25" s="196"/>
      <c r="CB25" s="196"/>
      <c r="CC25" s="196"/>
      <c r="CD25" s="196"/>
      <c r="CE25" s="196"/>
      <c r="CF25" s="196"/>
      <c r="CG25" s="196"/>
      <c r="CH25" s="196"/>
      <c r="CI25" s="196"/>
      <c r="CJ25" s="196"/>
      <c r="CK25" s="196"/>
      <c r="CL25" s="196"/>
      <c r="CM25" s="196"/>
      <c r="CN25" s="196"/>
      <c r="CO25" s="196"/>
      <c r="CP25" s="196"/>
      <c r="CQ25" s="196"/>
      <c r="CR25" s="196"/>
      <c r="CS25" s="196"/>
      <c r="CT25" s="196"/>
      <c r="CU25" s="196"/>
      <c r="CV25" s="196"/>
      <c r="CW25" s="196"/>
      <c r="CX25" s="196"/>
      <c r="CY25" s="196"/>
      <c r="CZ25" s="196"/>
      <c r="DA25" s="196"/>
    </row>
    <row r="26" spans="2:105" s="195" customFormat="1" ht="57.75" customHeight="1" x14ac:dyDescent="0.15">
      <c r="B26" s="629"/>
      <c r="C26" s="734" t="s">
        <v>143</v>
      </c>
      <c r="D26" s="735"/>
      <c r="E26" s="735"/>
      <c r="F26" s="736"/>
      <c r="G26" s="634"/>
      <c r="H26" s="194"/>
      <c r="I26" s="306" t="s">
        <v>517</v>
      </c>
      <c r="J26" s="727"/>
      <c r="K26" s="728"/>
      <c r="L26" s="729"/>
      <c r="M26" s="19"/>
      <c r="N26" s="457"/>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96"/>
      <c r="BW26" s="196"/>
      <c r="BX26" s="196"/>
      <c r="BY26" s="196"/>
      <c r="BZ26" s="196"/>
      <c r="CA26" s="196"/>
      <c r="CB26" s="196"/>
      <c r="CC26" s="196"/>
      <c r="CD26" s="196"/>
      <c r="CE26" s="196"/>
      <c r="CF26" s="196"/>
      <c r="CG26" s="196"/>
      <c r="CH26" s="196"/>
      <c r="CI26" s="196"/>
      <c r="CJ26" s="196"/>
      <c r="CK26" s="196"/>
      <c r="CL26" s="196"/>
      <c r="CM26" s="196"/>
      <c r="CN26" s="196"/>
      <c r="CO26" s="196"/>
      <c r="CP26" s="196"/>
      <c r="CQ26" s="196"/>
      <c r="CR26" s="196"/>
      <c r="CS26" s="196"/>
      <c r="CT26" s="196"/>
      <c r="CU26" s="196"/>
      <c r="CV26" s="196"/>
      <c r="CW26" s="196"/>
      <c r="CX26" s="196"/>
      <c r="CY26" s="196"/>
      <c r="CZ26" s="196"/>
      <c r="DA26" s="196"/>
    </row>
    <row r="27" spans="2:105" s="195" customFormat="1" ht="54" customHeight="1" x14ac:dyDescent="0.15">
      <c r="B27" s="629"/>
      <c r="C27" s="566" t="s">
        <v>144</v>
      </c>
      <c r="D27" s="567"/>
      <c r="E27" s="567"/>
      <c r="F27" s="568"/>
      <c r="G27" s="634"/>
      <c r="H27" s="183"/>
      <c r="I27" s="199" t="str">
        <f>IF($B$2="PRELIMINARY SITE VISIT REPORT FINDINGS","Plan to regularly assess goals and learning domains","")</f>
        <v/>
      </c>
      <c r="J27" s="727"/>
      <c r="K27" s="728"/>
      <c r="L27" s="729"/>
      <c r="M27" s="19"/>
      <c r="N27" s="457"/>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6"/>
      <c r="BR27" s="196"/>
      <c r="BS27" s="196"/>
      <c r="BT27" s="196"/>
      <c r="BU27" s="196"/>
      <c r="BV27" s="196"/>
      <c r="BW27" s="196"/>
      <c r="BX27" s="196"/>
      <c r="BY27" s="196"/>
      <c r="BZ27" s="196"/>
      <c r="CA27" s="196"/>
      <c r="CB27" s="196"/>
      <c r="CC27" s="196"/>
      <c r="CD27" s="196"/>
      <c r="CE27" s="196"/>
      <c r="CF27" s="196"/>
      <c r="CG27" s="196"/>
      <c r="CH27" s="196"/>
      <c r="CI27" s="196"/>
      <c r="CJ27" s="196"/>
      <c r="CK27" s="196"/>
      <c r="CL27" s="196"/>
      <c r="CM27" s="196"/>
      <c r="CN27" s="196"/>
      <c r="CO27" s="196"/>
      <c r="CP27" s="196"/>
      <c r="CQ27" s="196"/>
      <c r="CR27" s="196"/>
      <c r="CS27" s="196"/>
      <c r="CT27" s="196"/>
      <c r="CU27" s="196"/>
      <c r="CV27" s="196"/>
      <c r="CW27" s="196"/>
      <c r="CX27" s="196"/>
      <c r="CY27" s="196"/>
      <c r="CZ27" s="196"/>
      <c r="DA27" s="196"/>
    </row>
    <row r="28" spans="2:105" s="195" customFormat="1" ht="63" customHeight="1" x14ac:dyDescent="0.15">
      <c r="B28" s="629"/>
      <c r="C28" s="639" t="s">
        <v>86</v>
      </c>
      <c r="D28" s="640"/>
      <c r="E28" s="640"/>
      <c r="F28" s="641"/>
      <c r="G28" s="634"/>
      <c r="H28" s="194"/>
      <c r="I28" s="306" t="s">
        <v>516</v>
      </c>
      <c r="J28" s="727"/>
      <c r="K28" s="728"/>
      <c r="L28" s="729"/>
      <c r="M28" s="19"/>
      <c r="N28" s="457"/>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c r="BZ28" s="196"/>
      <c r="CA28" s="196"/>
      <c r="CB28" s="196"/>
      <c r="CC28" s="196"/>
      <c r="CD28" s="196"/>
      <c r="CE28" s="196"/>
      <c r="CF28" s="196"/>
      <c r="CG28" s="196"/>
      <c r="CH28" s="196"/>
      <c r="CI28" s="196"/>
      <c r="CJ28" s="196"/>
      <c r="CK28" s="196"/>
      <c r="CL28" s="196"/>
      <c r="CM28" s="196"/>
      <c r="CN28" s="196"/>
      <c r="CO28" s="196"/>
      <c r="CP28" s="196"/>
      <c r="CQ28" s="196"/>
      <c r="CR28" s="196"/>
      <c r="CS28" s="196"/>
      <c r="CT28" s="196"/>
      <c r="CU28" s="196"/>
      <c r="CV28" s="196"/>
      <c r="CW28" s="196"/>
      <c r="CX28" s="196"/>
      <c r="CY28" s="196"/>
      <c r="CZ28" s="196"/>
      <c r="DA28" s="196"/>
    </row>
    <row r="29" spans="2:105" s="195" customFormat="1" ht="78.75" customHeight="1" x14ac:dyDescent="0.15">
      <c r="B29" s="629"/>
      <c r="C29" s="734" t="s">
        <v>533</v>
      </c>
      <c r="D29" s="735"/>
      <c r="E29" s="735"/>
      <c r="F29" s="736"/>
      <c r="G29" s="634"/>
      <c r="H29" s="194"/>
      <c r="I29" s="306" t="s">
        <v>517</v>
      </c>
      <c r="J29" s="727"/>
      <c r="K29" s="728"/>
      <c r="L29" s="729"/>
      <c r="M29" s="19"/>
      <c r="N29" s="457"/>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c r="BQ29" s="196"/>
      <c r="BR29" s="196"/>
      <c r="BS29" s="196"/>
      <c r="BT29" s="196"/>
      <c r="BU29" s="196"/>
      <c r="BV29" s="196"/>
      <c r="BW29" s="196"/>
      <c r="BX29" s="196"/>
      <c r="BY29" s="196"/>
      <c r="BZ29" s="196"/>
      <c r="CA29" s="196"/>
      <c r="CB29" s="196"/>
      <c r="CC29" s="196"/>
      <c r="CD29" s="196"/>
      <c r="CE29" s="196"/>
      <c r="CF29" s="196"/>
      <c r="CG29" s="196"/>
      <c r="CH29" s="196"/>
      <c r="CI29" s="196"/>
      <c r="CJ29" s="196"/>
      <c r="CK29" s="196"/>
      <c r="CL29" s="196"/>
      <c r="CM29" s="196"/>
      <c r="CN29" s="196"/>
      <c r="CO29" s="196"/>
      <c r="CP29" s="196"/>
      <c r="CQ29" s="196"/>
      <c r="CR29" s="196"/>
      <c r="CS29" s="196"/>
      <c r="CT29" s="196"/>
      <c r="CU29" s="196"/>
      <c r="CV29" s="196"/>
      <c r="CW29" s="196"/>
      <c r="CX29" s="196"/>
      <c r="CY29" s="196"/>
      <c r="CZ29" s="196"/>
      <c r="DA29" s="196"/>
    </row>
    <row r="30" spans="2:105" s="195" customFormat="1" ht="71.25" customHeight="1" x14ac:dyDescent="0.15">
      <c r="B30" s="630"/>
      <c r="C30" s="743" t="s">
        <v>534</v>
      </c>
      <c r="D30" s="744"/>
      <c r="E30" s="744"/>
      <c r="F30" s="745"/>
      <c r="G30" s="635"/>
      <c r="H30" s="194"/>
      <c r="I30" s="306" t="s">
        <v>620</v>
      </c>
      <c r="J30" s="730"/>
      <c r="K30" s="731"/>
      <c r="L30" s="732"/>
      <c r="M30" s="19"/>
      <c r="N30" s="457"/>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c r="BR30" s="196"/>
      <c r="BS30" s="196"/>
      <c r="BT30" s="196"/>
      <c r="BU30" s="196"/>
      <c r="BV30" s="196"/>
      <c r="BW30" s="196"/>
      <c r="BX30" s="196"/>
      <c r="BY30" s="196"/>
      <c r="BZ30" s="196"/>
      <c r="CA30" s="196"/>
      <c r="CB30" s="196"/>
      <c r="CC30" s="196"/>
      <c r="CD30" s="196"/>
      <c r="CE30" s="196"/>
      <c r="CF30" s="196"/>
      <c r="CG30" s="196"/>
      <c r="CH30" s="196"/>
      <c r="CI30" s="196"/>
      <c r="CJ30" s="196"/>
      <c r="CK30" s="196"/>
      <c r="CL30" s="196"/>
      <c r="CM30" s="196"/>
      <c r="CN30" s="196"/>
      <c r="CO30" s="196"/>
      <c r="CP30" s="196"/>
      <c r="CQ30" s="196"/>
      <c r="CR30" s="196"/>
      <c r="CS30" s="196"/>
      <c r="CT30" s="196"/>
      <c r="CU30" s="196"/>
      <c r="CV30" s="196"/>
      <c r="CW30" s="196"/>
      <c r="CX30" s="196"/>
      <c r="CY30" s="196"/>
      <c r="CZ30" s="196"/>
      <c r="DA30" s="196"/>
    </row>
    <row r="31" spans="2:105" ht="20.25" customHeight="1" x14ac:dyDescent="0.15">
      <c r="B31" s="494" t="s">
        <v>475</v>
      </c>
      <c r="C31" s="449"/>
      <c r="D31" s="449"/>
      <c r="E31" s="449"/>
      <c r="F31" s="449"/>
      <c r="G31" s="495"/>
      <c r="H31" s="495"/>
      <c r="I31" s="495"/>
      <c r="J31" s="495"/>
      <c r="K31" s="495"/>
      <c r="L31" s="496"/>
    </row>
    <row r="32" spans="2:105" s="195" customFormat="1" ht="113.25" customHeight="1" x14ac:dyDescent="0.15">
      <c r="B32" s="197" t="s">
        <v>14</v>
      </c>
      <c r="C32" s="569" t="s">
        <v>536</v>
      </c>
      <c r="D32" s="570"/>
      <c r="E32" s="570"/>
      <c r="F32" s="571"/>
      <c r="G32" s="198"/>
      <c r="H32" s="183"/>
      <c r="I32" s="306" t="s">
        <v>547</v>
      </c>
      <c r="J32" s="575"/>
      <c r="K32" s="576"/>
      <c r="L32" s="577"/>
      <c r="M32" s="196"/>
      <c r="N32" s="289" t="s">
        <v>796</v>
      </c>
      <c r="O32" s="196"/>
      <c r="P32" s="196"/>
      <c r="Q32" s="196" t="s">
        <v>476</v>
      </c>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c r="CO32" s="196"/>
      <c r="CP32" s="196"/>
      <c r="CQ32" s="196"/>
      <c r="CR32" s="196"/>
      <c r="CS32" s="196"/>
      <c r="CT32" s="196"/>
      <c r="CU32" s="196"/>
      <c r="CV32" s="196"/>
      <c r="CW32" s="196"/>
      <c r="CX32" s="196"/>
      <c r="CY32" s="196"/>
      <c r="CZ32" s="196"/>
      <c r="DA32" s="196"/>
    </row>
    <row r="33" spans="2:105" s="195" customFormat="1" ht="71.25" customHeight="1" x14ac:dyDescent="0.15">
      <c r="B33" s="710" t="s">
        <v>14</v>
      </c>
      <c r="C33" s="737" t="s">
        <v>537</v>
      </c>
      <c r="D33" s="738"/>
      <c r="E33" s="738"/>
      <c r="F33" s="739"/>
      <c r="G33" s="671"/>
      <c r="H33" s="183"/>
      <c r="I33" s="307" t="str">
        <f>IF($B$2="PRELIMINARY SITE VISIT REPORT FINDINGS","Advisory committee meeting minutes including attendance from at least one (1) meeting","Advisory Committee meeting minutes including attendance
Response to employer survey feedback")</f>
        <v>Advisory Committee meeting minutes including attendance
Response to employer survey feedback</v>
      </c>
      <c r="J33" s="712"/>
      <c r="K33" s="713"/>
      <c r="L33" s="714"/>
      <c r="M33" s="196"/>
      <c r="N33" s="724" t="s">
        <v>758</v>
      </c>
      <c r="O33" s="196"/>
      <c r="P33" s="196"/>
      <c r="Q33" s="196" t="s">
        <v>476</v>
      </c>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c r="BQ33" s="196"/>
      <c r="BR33" s="196"/>
      <c r="BS33" s="196"/>
      <c r="BT33" s="196"/>
      <c r="BU33" s="196"/>
      <c r="BV33" s="196"/>
      <c r="BW33" s="196"/>
      <c r="BX33" s="196"/>
      <c r="BY33" s="196"/>
      <c r="BZ33" s="196"/>
      <c r="CA33" s="196"/>
      <c r="CB33" s="196"/>
      <c r="CC33" s="196"/>
      <c r="CD33" s="196"/>
      <c r="CE33" s="196"/>
      <c r="CF33" s="196"/>
      <c r="CG33" s="196"/>
      <c r="CH33" s="196"/>
      <c r="CI33" s="196"/>
      <c r="CJ33" s="196"/>
      <c r="CK33" s="196"/>
      <c r="CL33" s="196"/>
      <c r="CM33" s="196"/>
      <c r="CN33" s="196"/>
      <c r="CO33" s="196"/>
      <c r="CP33" s="196"/>
      <c r="CQ33" s="196"/>
      <c r="CR33" s="196"/>
      <c r="CS33" s="196"/>
      <c r="CT33" s="196"/>
      <c r="CU33" s="196"/>
      <c r="CV33" s="196"/>
      <c r="CW33" s="196"/>
      <c r="CX33" s="196"/>
      <c r="CY33" s="196"/>
      <c r="CZ33" s="196"/>
      <c r="DA33" s="196"/>
    </row>
    <row r="34" spans="2:105" s="195" customFormat="1" ht="57.75" customHeight="1" x14ac:dyDescent="0.15">
      <c r="B34" s="711"/>
      <c r="C34" s="740"/>
      <c r="D34" s="741"/>
      <c r="E34" s="741"/>
      <c r="F34" s="742"/>
      <c r="G34" s="672"/>
      <c r="H34" s="183"/>
      <c r="I34" s="184" t="s">
        <v>402</v>
      </c>
      <c r="J34" s="715"/>
      <c r="K34" s="716"/>
      <c r="L34" s="717"/>
      <c r="M34" s="196"/>
      <c r="N34" s="724"/>
      <c r="O34" s="196"/>
      <c r="P34" s="196"/>
      <c r="Q34" s="196" t="s">
        <v>476</v>
      </c>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c r="CO34" s="196"/>
      <c r="CP34" s="196"/>
      <c r="CQ34" s="196"/>
      <c r="CR34" s="196"/>
      <c r="CS34" s="196"/>
      <c r="CT34" s="196"/>
      <c r="CU34" s="196"/>
      <c r="CV34" s="196"/>
      <c r="CW34" s="196"/>
      <c r="CX34" s="196"/>
      <c r="CY34" s="196"/>
      <c r="CZ34" s="196"/>
      <c r="DA34" s="196"/>
    </row>
    <row r="35" spans="2:105" s="195" customFormat="1" ht="49.5" customHeight="1" x14ac:dyDescent="0.15">
      <c r="B35" s="197" t="s">
        <v>14</v>
      </c>
      <c r="C35" s="569" t="s">
        <v>145</v>
      </c>
      <c r="D35" s="570"/>
      <c r="E35" s="570"/>
      <c r="F35" s="571"/>
      <c r="G35" s="244"/>
      <c r="H35" s="183"/>
      <c r="I35" s="184" t="str">
        <f>IF($B$2="PRELIMINARY SITE VISIT REPORT FINDINGS","NA - seeking the Letter of Review", "Conversation with Advisory Committee and program personnel")</f>
        <v>Conversation with Advisory Committee and program personnel</v>
      </c>
      <c r="J35" s="572"/>
      <c r="K35" s="573"/>
      <c r="L35" s="574"/>
      <c r="M35" s="196"/>
      <c r="N35" s="290" t="s">
        <v>645</v>
      </c>
      <c r="O35" s="196"/>
      <c r="P35" s="196"/>
      <c r="Q35" s="196" t="s">
        <v>476</v>
      </c>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96"/>
      <c r="BW35" s="196"/>
      <c r="BX35" s="196"/>
      <c r="BY35" s="196"/>
      <c r="BZ35" s="196"/>
      <c r="CA35" s="196"/>
      <c r="CB35" s="196"/>
      <c r="CC35" s="196"/>
      <c r="CD35" s="196"/>
      <c r="CE35" s="196"/>
      <c r="CF35" s="196"/>
      <c r="CG35" s="196"/>
      <c r="CH35" s="196"/>
      <c r="CI35" s="196"/>
      <c r="CJ35" s="196"/>
      <c r="CK35" s="196"/>
      <c r="CL35" s="196"/>
      <c r="CM35" s="196"/>
      <c r="CN35" s="196"/>
      <c r="CO35" s="196"/>
      <c r="CP35" s="196"/>
      <c r="CQ35" s="196"/>
      <c r="CR35" s="196"/>
      <c r="CS35" s="196"/>
      <c r="CT35" s="196"/>
      <c r="CU35" s="196"/>
      <c r="CV35" s="196"/>
      <c r="CW35" s="196"/>
      <c r="CX35" s="196"/>
      <c r="CY35" s="196"/>
      <c r="CZ35" s="196"/>
      <c r="DA35" s="196"/>
    </row>
    <row r="36" spans="2:105" s="146" customFormat="1" ht="27" customHeight="1" x14ac:dyDescent="0.15">
      <c r="B36" s="718" t="str">
        <f>IF('Cover Page'!$D$8&lt;&gt;"Please Select",'Cover Page'!$D$8, "Select Program Level on the Cover Page tab")</f>
        <v>Select Program Level on the Cover Page tab</v>
      </c>
      <c r="C36" s="718"/>
      <c r="D36" s="718"/>
      <c r="E36" s="718"/>
      <c r="F36" s="718"/>
      <c r="G36" s="718"/>
      <c r="H36" s="718"/>
      <c r="I36" s="718"/>
      <c r="J36" s="718"/>
      <c r="K36" s="718"/>
      <c r="L36" s="718"/>
      <c r="N36" s="268"/>
      <c r="Q36" s="147"/>
    </row>
    <row r="37" spans="2:105" ht="20.25" customHeight="1" x14ac:dyDescent="0.15">
      <c r="B37" s="585" t="s">
        <v>15</v>
      </c>
      <c r="C37" s="586"/>
      <c r="D37" s="586"/>
      <c r="E37" s="586"/>
      <c r="F37" s="586"/>
      <c r="G37" s="586"/>
      <c r="H37" s="586"/>
      <c r="I37" s="586"/>
      <c r="J37" s="586"/>
      <c r="K37" s="586"/>
      <c r="L37" s="587"/>
    </row>
    <row r="38" spans="2:105" ht="20.25" customHeight="1" x14ac:dyDescent="0.15">
      <c r="B38" s="494" t="s">
        <v>16</v>
      </c>
      <c r="C38" s="495"/>
      <c r="D38" s="495"/>
      <c r="E38" s="495"/>
      <c r="F38" s="495"/>
      <c r="G38" s="495"/>
      <c r="H38" s="495"/>
      <c r="I38" s="495"/>
      <c r="J38" s="495"/>
      <c r="K38" s="495"/>
      <c r="L38" s="496"/>
    </row>
    <row r="39" spans="2:105" s="8" customFormat="1" ht="20.25" customHeight="1" x14ac:dyDescent="0.2">
      <c r="B39" s="494" t="s">
        <v>17</v>
      </c>
      <c r="C39" s="495"/>
      <c r="D39" s="495"/>
      <c r="E39" s="495"/>
      <c r="F39" s="495"/>
      <c r="G39" s="495"/>
      <c r="H39" s="495"/>
      <c r="I39" s="495"/>
      <c r="J39" s="515"/>
      <c r="K39" s="515"/>
      <c r="L39" s="733"/>
      <c r="M39" s="50"/>
      <c r="N39" s="27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c r="CQ39" s="50"/>
      <c r="CR39" s="50"/>
      <c r="CS39" s="50"/>
      <c r="CT39" s="50"/>
      <c r="CU39" s="50"/>
      <c r="CV39" s="50"/>
      <c r="CW39" s="50"/>
      <c r="CX39" s="50"/>
      <c r="CY39" s="50"/>
      <c r="CZ39" s="50"/>
      <c r="DA39" s="50"/>
    </row>
    <row r="40" spans="2:105" ht="46.5" customHeight="1" x14ac:dyDescent="0.15">
      <c r="B40" s="454" t="s">
        <v>21</v>
      </c>
      <c r="C40" s="458" t="s">
        <v>22</v>
      </c>
      <c r="D40" s="458"/>
      <c r="E40" s="458"/>
      <c r="F40" s="458"/>
      <c r="G40" s="437"/>
      <c r="H40" s="416"/>
      <c r="I40" s="500" t="s">
        <v>363</v>
      </c>
      <c r="J40" s="459"/>
      <c r="K40" s="460"/>
      <c r="L40" s="461"/>
      <c r="N40" s="283" t="s">
        <v>775</v>
      </c>
      <c r="Q40" s="19" t="s">
        <v>477</v>
      </c>
    </row>
    <row r="41" spans="2:105" ht="48" customHeight="1" x14ac:dyDescent="0.15">
      <c r="B41" s="456"/>
      <c r="C41" s="458"/>
      <c r="D41" s="458"/>
      <c r="E41" s="458"/>
      <c r="F41" s="458"/>
      <c r="G41" s="439"/>
      <c r="H41" s="417"/>
      <c r="I41" s="501"/>
      <c r="J41" s="464"/>
      <c r="K41" s="465"/>
      <c r="L41" s="466"/>
      <c r="N41" s="291" t="s">
        <v>746</v>
      </c>
      <c r="Q41" s="19" t="s">
        <v>477</v>
      </c>
    </row>
    <row r="42" spans="2:105" ht="18" customHeight="1" x14ac:dyDescent="0.15">
      <c r="B42" s="484" t="s">
        <v>21</v>
      </c>
      <c r="C42" s="458" t="s">
        <v>548</v>
      </c>
      <c r="D42" s="458"/>
      <c r="E42" s="458"/>
      <c r="F42" s="458"/>
      <c r="G42" s="616"/>
      <c r="H42" s="416"/>
      <c r="I42" s="467" t="s">
        <v>555</v>
      </c>
      <c r="J42" s="460"/>
      <c r="K42" s="460"/>
      <c r="L42" s="461"/>
      <c r="N42" s="283" t="s">
        <v>646</v>
      </c>
      <c r="Q42" s="19" t="s">
        <v>477</v>
      </c>
    </row>
    <row r="43" spans="2:105" ht="51" customHeight="1" x14ac:dyDescent="0.15">
      <c r="B43" s="456"/>
      <c r="C43" s="458"/>
      <c r="D43" s="458"/>
      <c r="E43" s="458"/>
      <c r="F43" s="458"/>
      <c r="G43" s="617"/>
      <c r="H43" s="417"/>
      <c r="I43" s="469"/>
      <c r="J43" s="464"/>
      <c r="K43" s="465"/>
      <c r="L43" s="466"/>
      <c r="N43" s="291" t="s">
        <v>732</v>
      </c>
      <c r="Q43" s="19" t="s">
        <v>477</v>
      </c>
    </row>
    <row r="44" spans="2:105" ht="33.75" customHeight="1" x14ac:dyDescent="0.15">
      <c r="B44" s="484" t="s">
        <v>21</v>
      </c>
      <c r="C44" s="425" t="s">
        <v>23</v>
      </c>
      <c r="D44" s="426"/>
      <c r="E44" s="426"/>
      <c r="F44" s="427"/>
      <c r="G44" s="492"/>
      <c r="H44" s="174"/>
      <c r="I44" s="176" t="s">
        <v>403</v>
      </c>
      <c r="J44" s="459"/>
      <c r="K44" s="460"/>
      <c r="L44" s="461"/>
      <c r="N44" s="481" t="s">
        <v>647</v>
      </c>
      <c r="Q44" s="19" t="s">
        <v>477</v>
      </c>
    </row>
    <row r="45" spans="2:105" ht="30.75" customHeight="1" x14ac:dyDescent="0.15">
      <c r="B45" s="485"/>
      <c r="C45" s="431"/>
      <c r="D45" s="432"/>
      <c r="E45" s="432"/>
      <c r="F45" s="433"/>
      <c r="G45" s="493"/>
      <c r="H45" s="174"/>
      <c r="I45" s="178" t="s">
        <v>404</v>
      </c>
      <c r="J45" s="464"/>
      <c r="K45" s="465"/>
      <c r="L45" s="466"/>
      <c r="N45" s="481"/>
      <c r="Q45" s="19" t="s">
        <v>477</v>
      </c>
    </row>
    <row r="46" spans="2:105" ht="16.5" customHeight="1" x14ac:dyDescent="0.15">
      <c r="B46" s="454" t="s">
        <v>21</v>
      </c>
      <c r="C46" s="458" t="s">
        <v>24</v>
      </c>
      <c r="D46" s="458"/>
      <c r="E46" s="458"/>
      <c r="F46" s="458"/>
      <c r="G46" s="616"/>
      <c r="H46" s="416"/>
      <c r="I46" s="467" t="s">
        <v>549</v>
      </c>
      <c r="J46" s="460"/>
      <c r="K46" s="460"/>
      <c r="L46" s="461"/>
      <c r="N46" s="283" t="s">
        <v>648</v>
      </c>
      <c r="Q46" s="19" t="s">
        <v>477</v>
      </c>
    </row>
    <row r="47" spans="2:105" ht="53.25" customHeight="1" x14ac:dyDescent="0.15">
      <c r="B47" s="456"/>
      <c r="C47" s="458"/>
      <c r="D47" s="458"/>
      <c r="E47" s="458"/>
      <c r="F47" s="458"/>
      <c r="G47" s="617"/>
      <c r="H47" s="417"/>
      <c r="I47" s="469"/>
      <c r="J47" s="464"/>
      <c r="K47" s="465"/>
      <c r="L47" s="466"/>
      <c r="N47" s="291" t="s">
        <v>776</v>
      </c>
      <c r="Q47" s="19" t="s">
        <v>477</v>
      </c>
    </row>
    <row r="48" spans="2:105" ht="18.75" customHeight="1" x14ac:dyDescent="0.15">
      <c r="B48" s="484" t="s">
        <v>21</v>
      </c>
      <c r="C48" s="458" t="s">
        <v>478</v>
      </c>
      <c r="D48" s="458"/>
      <c r="E48" s="458"/>
      <c r="F48" s="458"/>
      <c r="G48" s="616"/>
      <c r="H48" s="416"/>
      <c r="I48" s="467" t="s">
        <v>500</v>
      </c>
      <c r="J48" s="460"/>
      <c r="K48" s="460"/>
      <c r="L48" s="461"/>
      <c r="N48" s="283" t="s">
        <v>649</v>
      </c>
      <c r="Q48" s="19" t="s">
        <v>477</v>
      </c>
    </row>
    <row r="49" spans="2:26" ht="37.5" customHeight="1" x14ac:dyDescent="0.15">
      <c r="B49" s="485"/>
      <c r="C49" s="458"/>
      <c r="D49" s="458"/>
      <c r="E49" s="458"/>
      <c r="F49" s="458"/>
      <c r="G49" s="617"/>
      <c r="H49" s="417"/>
      <c r="I49" s="469"/>
      <c r="J49" s="464"/>
      <c r="K49" s="465"/>
      <c r="L49" s="466"/>
      <c r="N49" s="291" t="s">
        <v>777</v>
      </c>
      <c r="Q49" s="19" t="s">
        <v>477</v>
      </c>
    </row>
    <row r="50" spans="2:26" ht="18.75" customHeight="1" x14ac:dyDescent="0.15">
      <c r="B50" s="484" t="s">
        <v>21</v>
      </c>
      <c r="C50" s="458" t="s">
        <v>483</v>
      </c>
      <c r="D50" s="458"/>
      <c r="E50" s="458"/>
      <c r="F50" s="458"/>
      <c r="G50" s="616"/>
      <c r="H50" s="416"/>
      <c r="I50" s="467" t="s">
        <v>511</v>
      </c>
      <c r="J50" s="460"/>
      <c r="K50" s="460"/>
      <c r="L50" s="461"/>
      <c r="N50" s="283" t="s">
        <v>649</v>
      </c>
      <c r="Q50" s="19" t="s">
        <v>477</v>
      </c>
    </row>
    <row r="51" spans="2:26" ht="37.5" customHeight="1" x14ac:dyDescent="0.15">
      <c r="B51" s="456"/>
      <c r="C51" s="458"/>
      <c r="D51" s="458"/>
      <c r="E51" s="458"/>
      <c r="F51" s="458"/>
      <c r="G51" s="617"/>
      <c r="H51" s="417"/>
      <c r="I51" s="469"/>
      <c r="J51" s="464"/>
      <c r="K51" s="465"/>
      <c r="L51" s="466"/>
      <c r="N51" s="291" t="s">
        <v>777</v>
      </c>
      <c r="Q51" s="19" t="s">
        <v>477</v>
      </c>
    </row>
    <row r="52" spans="2:26" ht="18.75" customHeight="1" x14ac:dyDescent="0.15">
      <c r="B52" s="484" t="s">
        <v>21</v>
      </c>
      <c r="C52" s="425" t="s">
        <v>482</v>
      </c>
      <c r="D52" s="426"/>
      <c r="E52" s="426"/>
      <c r="F52" s="427"/>
      <c r="G52" s="492"/>
      <c r="H52" s="416"/>
      <c r="I52" s="467" t="s">
        <v>405</v>
      </c>
      <c r="J52" s="459"/>
      <c r="K52" s="460"/>
      <c r="L52" s="461"/>
      <c r="N52" s="283" t="s">
        <v>650</v>
      </c>
      <c r="Q52" s="19" t="s">
        <v>477</v>
      </c>
    </row>
    <row r="53" spans="2:26" ht="37.5" customHeight="1" x14ac:dyDescent="0.15">
      <c r="B53" s="455"/>
      <c r="C53" s="428"/>
      <c r="D53" s="429"/>
      <c r="E53" s="429"/>
      <c r="F53" s="430"/>
      <c r="G53" s="493"/>
      <c r="H53" s="417"/>
      <c r="I53" s="469"/>
      <c r="J53" s="464"/>
      <c r="K53" s="465"/>
      <c r="L53" s="466"/>
      <c r="N53" s="291" t="s">
        <v>777</v>
      </c>
      <c r="Q53" s="19" t="s">
        <v>477</v>
      </c>
      <c r="Z53" s="254"/>
    </row>
    <row r="54" spans="2:26" ht="69" customHeight="1" x14ac:dyDescent="0.15">
      <c r="B54" s="455"/>
      <c r="C54" s="428"/>
      <c r="D54" s="429"/>
      <c r="E54" s="429"/>
      <c r="F54" s="430"/>
      <c r="G54" s="206" t="str">
        <f>IF(AND(H54="      Same State Satellite Location(s)",J54&lt;&gt;""), "Not Met",IF(AND(H54="      Same State Satellite Location(s)",J54=""),"Met","N/A"))</f>
        <v>N/A</v>
      </c>
      <c r="H54" s="423" t="str">
        <f>IF('Satellite(s)'!$H$6&lt;&gt;"N/A","      Same state satellite location(s)","      No same state satellite location(s)")</f>
        <v xml:space="preserve">      No same state satellite location(s)</v>
      </c>
      <c r="I54" s="424"/>
      <c r="J54" s="625" t="str" cm="1">
        <f t="array" ref="J54">_xlfn.TEXTJOIN("
",TRUE,IF('Satellite(s)'!F24:AB24="Not Met",'Satellite(s)'!F25:AB25,""))</f>
        <v/>
      </c>
      <c r="K54" s="626"/>
      <c r="L54" s="627"/>
      <c r="Q54" s="69" t="s">
        <v>784</v>
      </c>
    </row>
    <row r="55" spans="2:26" ht="51.75" customHeight="1" x14ac:dyDescent="0.15">
      <c r="B55" s="455"/>
      <c r="C55" s="428"/>
      <c r="D55" s="429"/>
      <c r="E55" s="429"/>
      <c r="F55" s="430"/>
      <c r="G55" s="206" t="str">
        <f>IF(AND(H55="      Out-of-state satellite location(s)",J55&lt;&gt;""), "Not Met",IF(AND(H55="      Out-of-state satellite location(s)",J55=""),"Met","N/A"))</f>
        <v>N/A</v>
      </c>
      <c r="H55" s="423" t="str">
        <f>IF('Satellite(s)'!$H$7&lt;&gt;"N/A","      Out-of-state satellite location(s)","      No out-of-state satellite location(s)")</f>
        <v xml:space="preserve">      No out-of-state satellite location(s)</v>
      </c>
      <c r="I55" s="424"/>
      <c r="J55" s="420" t="str" cm="1">
        <f t="array" ref="J55">_xlfn.TEXTJOIN("
",TRUE,IF('Satellite(s)'!F68:L68="Not Met",'Satellite(s)'!F69:L69,""))</f>
        <v/>
      </c>
      <c r="K55" s="421"/>
      <c r="L55" s="422"/>
      <c r="Q55" s="69" t="s">
        <v>576</v>
      </c>
    </row>
    <row r="56" spans="2:26" ht="51.75" customHeight="1" x14ac:dyDescent="0.15">
      <c r="B56" s="456"/>
      <c r="C56" s="431"/>
      <c r="D56" s="432"/>
      <c r="E56" s="432"/>
      <c r="F56" s="433"/>
      <c r="G56" s="273" t="str">
        <f>IF(AND(H56="      Not Approved Satellite Location(s)",J56&lt;&gt;""), "Not Met",IF(AND(H56="      Not Approved Satellite Location(s)",J55=""),"Met","N/A"))</f>
        <v>N/A</v>
      </c>
      <c r="H56" s="624" t="str">
        <f>IF('Satellite(s)'!$H$8&lt;&gt;"","      Not approved satellite location(s)","      No unapproved satellite location(s)")</f>
        <v xml:space="preserve">      No unapproved satellite location(s)</v>
      </c>
      <c r="I56" s="467"/>
      <c r="J56" s="420" t="str" cm="1">
        <f t="array" ref="J56">_xlfn.TEXTJOIN("
",TRUE,IF('Satellite(s)'!F112:L112="Not Met",'Satellite(s)'!F113:L113,""))</f>
        <v/>
      </c>
      <c r="K56" s="421"/>
      <c r="L56" s="422"/>
      <c r="Q56" s="69" t="s">
        <v>577</v>
      </c>
    </row>
    <row r="57" spans="2:26" ht="18.75" customHeight="1" x14ac:dyDescent="0.15">
      <c r="B57" s="484" t="s">
        <v>21</v>
      </c>
      <c r="C57" s="279"/>
      <c r="D57" s="280"/>
      <c r="E57" s="280"/>
      <c r="F57" s="280"/>
      <c r="G57" s="492"/>
      <c r="H57" s="416"/>
      <c r="I57" s="467" t="s">
        <v>406</v>
      </c>
      <c r="J57" s="460"/>
      <c r="K57" s="460"/>
      <c r="L57" s="461"/>
      <c r="N57" s="283" t="s">
        <v>650</v>
      </c>
      <c r="Q57" s="19" t="s">
        <v>477</v>
      </c>
    </row>
    <row r="58" spans="2:26" ht="81" customHeight="1" x14ac:dyDescent="0.15">
      <c r="B58" s="456"/>
      <c r="C58" s="428" t="s">
        <v>654</v>
      </c>
      <c r="D58" s="429"/>
      <c r="E58" s="429"/>
      <c r="F58" s="430"/>
      <c r="G58" s="493"/>
      <c r="H58" s="417"/>
      <c r="I58" s="469"/>
      <c r="J58" s="464"/>
      <c r="K58" s="465"/>
      <c r="L58" s="466"/>
      <c r="N58" s="291" t="s">
        <v>777</v>
      </c>
      <c r="Q58" s="19" t="s">
        <v>477</v>
      </c>
    </row>
    <row r="59" spans="2:26" ht="30.75" customHeight="1" x14ac:dyDescent="0.15">
      <c r="B59" s="484" t="s">
        <v>21</v>
      </c>
      <c r="C59" s="279"/>
      <c r="D59" s="280"/>
      <c r="E59" s="280"/>
      <c r="F59" s="280"/>
      <c r="G59" s="492"/>
      <c r="H59" s="416"/>
      <c r="I59" s="467" t="s">
        <v>407</v>
      </c>
      <c r="J59" s="460"/>
      <c r="K59" s="460"/>
      <c r="L59" s="461"/>
      <c r="N59" s="285" t="s">
        <v>766</v>
      </c>
      <c r="Q59" s="19" t="s">
        <v>477</v>
      </c>
    </row>
    <row r="60" spans="2:26" ht="80.25" customHeight="1" x14ac:dyDescent="0.15">
      <c r="B60" s="456"/>
      <c r="C60" s="428" t="s">
        <v>655</v>
      </c>
      <c r="D60" s="429"/>
      <c r="E60" s="429"/>
      <c r="F60" s="430"/>
      <c r="G60" s="493"/>
      <c r="H60" s="417"/>
      <c r="I60" s="469"/>
      <c r="J60" s="464"/>
      <c r="K60" s="465"/>
      <c r="L60" s="466"/>
      <c r="N60" s="287" t="s">
        <v>651</v>
      </c>
      <c r="Q60" s="19" t="s">
        <v>477</v>
      </c>
    </row>
    <row r="61" spans="2:26" ht="33" customHeight="1" x14ac:dyDescent="0.15">
      <c r="B61" s="484" t="s">
        <v>21</v>
      </c>
      <c r="C61" s="458" t="s">
        <v>656</v>
      </c>
      <c r="D61" s="458"/>
      <c r="E61" s="458"/>
      <c r="F61" s="458"/>
      <c r="G61" s="437"/>
      <c r="H61" s="416"/>
      <c r="I61" s="500" t="s">
        <v>407</v>
      </c>
      <c r="J61" s="460"/>
      <c r="K61" s="460"/>
      <c r="L61" s="461"/>
      <c r="N61" s="283" t="s">
        <v>766</v>
      </c>
      <c r="Q61" s="19" t="s">
        <v>477</v>
      </c>
    </row>
    <row r="62" spans="2:26" ht="88.5" customHeight="1" x14ac:dyDescent="0.15">
      <c r="B62" s="456"/>
      <c r="C62" s="458"/>
      <c r="D62" s="458"/>
      <c r="E62" s="458"/>
      <c r="F62" s="458"/>
      <c r="G62" s="439"/>
      <c r="H62" s="417"/>
      <c r="I62" s="501"/>
      <c r="J62" s="464"/>
      <c r="K62" s="465"/>
      <c r="L62" s="466"/>
      <c r="N62" s="291" t="s">
        <v>652</v>
      </c>
      <c r="Q62" s="19" t="s">
        <v>477</v>
      </c>
    </row>
    <row r="63" spans="2:26" ht="70.5" customHeight="1" x14ac:dyDescent="0.15">
      <c r="B63" s="454" t="s">
        <v>21</v>
      </c>
      <c r="C63" s="425" t="s">
        <v>481</v>
      </c>
      <c r="D63" s="426"/>
      <c r="E63" s="426"/>
      <c r="F63" s="427"/>
      <c r="G63" s="492"/>
      <c r="H63" s="174"/>
      <c r="I63" s="176" t="s">
        <v>408</v>
      </c>
      <c r="J63" s="507"/>
      <c r="K63" s="508"/>
      <c r="L63" s="509"/>
      <c r="N63" s="481" t="s">
        <v>747</v>
      </c>
      <c r="Q63" s="19" t="s">
        <v>477</v>
      </c>
    </row>
    <row r="64" spans="2:26" ht="39" customHeight="1" x14ac:dyDescent="0.15">
      <c r="B64" s="455"/>
      <c r="C64" s="428"/>
      <c r="D64" s="429"/>
      <c r="E64" s="429"/>
      <c r="F64" s="430"/>
      <c r="G64" s="493"/>
      <c r="H64" s="174"/>
      <c r="I64" s="176" t="s">
        <v>87</v>
      </c>
      <c r="J64" s="618"/>
      <c r="K64" s="619"/>
      <c r="L64" s="620"/>
      <c r="N64" s="482"/>
      <c r="Q64" s="19" t="s">
        <v>477</v>
      </c>
    </row>
    <row r="65" spans="2:17" ht="78" customHeight="1" x14ac:dyDescent="0.15">
      <c r="B65" s="455"/>
      <c r="C65" s="428"/>
      <c r="D65" s="429"/>
      <c r="E65" s="429"/>
      <c r="F65" s="430"/>
      <c r="G65" s="206" t="str">
        <f>IF(AND(H65="      Same State Satellite Location(s)",J65&lt;&gt;""), "Not Met",IF(AND(H65="      Same State Satellite Location(s)",J65=""),"Met","N/A"))</f>
        <v>N/A</v>
      </c>
      <c r="H65" s="423" t="str">
        <f>IF('Satellite(s)'!$H$6&lt;&gt;"N/A","      Same state satellite location(s)","      No same state satellite location(s)")</f>
        <v xml:space="preserve">      No same state satellite location(s)</v>
      </c>
      <c r="I65" s="424"/>
      <c r="J65" s="621" t="str" cm="1">
        <f t="array" ref="J65">_xlfn.TEXTJOIN("
",TRUE,IF('Satellite(s)'!F23:AB23="Not Met","Insufficient equipment and supplies were identified at the following location(s):" &amp; 'Satellite(s)'!F13:AB13,""))</f>
        <v/>
      </c>
      <c r="K65" s="622"/>
      <c r="L65" s="623"/>
      <c r="Q65" s="69" t="s">
        <v>784</v>
      </c>
    </row>
    <row r="66" spans="2:17" ht="78" customHeight="1" x14ac:dyDescent="0.15">
      <c r="B66" s="455"/>
      <c r="C66" s="428"/>
      <c r="D66" s="429"/>
      <c r="E66" s="429"/>
      <c r="F66" s="430"/>
      <c r="G66" s="206" t="str">
        <f>IF(AND(H66="      Out-of-state satellite location(s)",J66&lt;&gt;""), "Not Met",IF(AND(H55="      Out-of-state satellite location(s)",J66=""),"Met","N/A"))</f>
        <v>N/A</v>
      </c>
      <c r="H66" s="423" t="str">
        <f>IF('Satellite(s)'!$H$7&lt;&gt;"N/A","      Out-of-state satellite location(s)","      No out-of-state satellite location(s)")</f>
        <v xml:space="preserve">      No out-of-state satellite location(s)</v>
      </c>
      <c r="I66" s="424"/>
      <c r="J66" s="621" t="str" cm="1">
        <f t="array" ref="J66">_xlfn.TEXTJOIN("
",TRUE,IF('Satellite(s)'!F67:L67="Not Met","Insufficient equipment and supplies were identified at the following location(s):" &amp; 'Satellite(s)'!F57:L57,""))</f>
        <v/>
      </c>
      <c r="K66" s="622"/>
      <c r="L66" s="623"/>
      <c r="Q66" s="69" t="s">
        <v>578</v>
      </c>
    </row>
    <row r="67" spans="2:17" ht="78" customHeight="1" x14ac:dyDescent="0.15">
      <c r="B67" s="456"/>
      <c r="C67" s="431"/>
      <c r="D67" s="432"/>
      <c r="E67" s="432"/>
      <c r="F67" s="433"/>
      <c r="G67" s="206" t="str">
        <f>IF(AND(H67="      Not Approved Satellite Location(s)",J67&lt;&gt;""), "Not Met",IF(AND(H67="      Not Approved Satellite Location(s)",J67=""),"Met","N/A"))</f>
        <v>N/A</v>
      </c>
      <c r="H67" s="423" t="str">
        <f>IF('Satellite(s)'!$H$8&lt;&gt;"","      Not approved satellite location(s)","      No unapproved satellite location(s)")</f>
        <v xml:space="preserve">      No unapproved satellite location(s)</v>
      </c>
      <c r="I67" s="424"/>
      <c r="J67" s="621" t="str" cm="1">
        <f t="array" ref="J67">_xlfn.TEXTJOIN("
",TRUE,IF('Satellite(s)'!F111:L111="Not Met","Insufficient equipment and supplies were identified at the following location(s):" &amp; 'Satellite(s)'!F101:L101,""))</f>
        <v/>
      </c>
      <c r="K67" s="622"/>
      <c r="L67" s="623"/>
      <c r="Q67" s="69" t="s">
        <v>579</v>
      </c>
    </row>
    <row r="68" spans="2:17" ht="37.5" customHeight="1" x14ac:dyDescent="0.15">
      <c r="B68" s="201" t="s">
        <v>21</v>
      </c>
      <c r="C68" s="502" t="s">
        <v>480</v>
      </c>
      <c r="D68" s="503"/>
      <c r="E68" s="503"/>
      <c r="F68" s="504"/>
      <c r="G68" s="205"/>
      <c r="H68" s="174"/>
      <c r="I68" s="176" t="s">
        <v>407</v>
      </c>
      <c r="J68" s="478"/>
      <c r="K68" s="479"/>
      <c r="L68" s="480"/>
      <c r="N68" s="287" t="s">
        <v>748</v>
      </c>
      <c r="Q68" s="19" t="s">
        <v>477</v>
      </c>
    </row>
    <row r="69" spans="2:17" ht="39" customHeight="1" x14ac:dyDescent="0.15">
      <c r="B69" s="454" t="s">
        <v>21</v>
      </c>
      <c r="C69" s="425" t="s">
        <v>479</v>
      </c>
      <c r="D69" s="426"/>
      <c r="E69" s="426"/>
      <c r="F69" s="427"/>
      <c r="G69" s="492"/>
      <c r="H69" s="174"/>
      <c r="I69" s="176" t="s">
        <v>409</v>
      </c>
      <c r="J69" s="459"/>
      <c r="K69" s="460"/>
      <c r="L69" s="461"/>
      <c r="N69" s="481" t="s">
        <v>653</v>
      </c>
      <c r="Q69" s="19" t="s">
        <v>477</v>
      </c>
    </row>
    <row r="70" spans="2:17" ht="48.75" customHeight="1" x14ac:dyDescent="0.15">
      <c r="B70" s="455"/>
      <c r="C70" s="428"/>
      <c r="D70" s="429"/>
      <c r="E70" s="429"/>
      <c r="F70" s="430"/>
      <c r="G70" s="493"/>
      <c r="H70" s="174"/>
      <c r="I70" s="176" t="s">
        <v>410</v>
      </c>
      <c r="J70" s="464"/>
      <c r="K70" s="465"/>
      <c r="L70" s="466"/>
      <c r="N70" s="482"/>
      <c r="Q70" s="19" t="s">
        <v>477</v>
      </c>
    </row>
    <row r="71" spans="2:17" ht="27" customHeight="1" x14ac:dyDescent="0.15">
      <c r="B71" s="484" t="s">
        <v>21</v>
      </c>
      <c r="C71" s="412" t="s">
        <v>697</v>
      </c>
      <c r="D71" s="412"/>
      <c r="E71" s="412"/>
      <c r="F71" s="412"/>
      <c r="G71" s="437"/>
      <c r="H71" s="416"/>
      <c r="I71" s="467" t="s">
        <v>411</v>
      </c>
      <c r="J71" s="460"/>
      <c r="K71" s="460"/>
      <c r="L71" s="461"/>
      <c r="N71" s="283" t="s">
        <v>698</v>
      </c>
      <c r="Q71" s="19" t="s">
        <v>477</v>
      </c>
    </row>
    <row r="72" spans="2:17" ht="68.25" customHeight="1" x14ac:dyDescent="0.15">
      <c r="B72" s="456"/>
      <c r="C72" s="412"/>
      <c r="D72" s="412"/>
      <c r="E72" s="412"/>
      <c r="F72" s="412"/>
      <c r="G72" s="439"/>
      <c r="H72" s="417"/>
      <c r="I72" s="469"/>
      <c r="J72" s="464"/>
      <c r="K72" s="465"/>
      <c r="L72" s="466"/>
      <c r="N72" s="291" t="s">
        <v>706</v>
      </c>
      <c r="Q72" s="19" t="s">
        <v>477</v>
      </c>
    </row>
    <row r="73" spans="2:17" ht="18.75" customHeight="1" x14ac:dyDescent="0.15">
      <c r="B73" s="484" t="s">
        <v>21</v>
      </c>
      <c r="C73" s="458" t="s">
        <v>657</v>
      </c>
      <c r="D73" s="458"/>
      <c r="E73" s="458"/>
      <c r="F73" s="458"/>
      <c r="G73" s="616"/>
      <c r="H73" s="470"/>
      <c r="I73" s="467" t="s">
        <v>550</v>
      </c>
      <c r="J73" s="460"/>
      <c r="K73" s="460"/>
      <c r="L73" s="461"/>
      <c r="N73" s="283" t="s">
        <v>658</v>
      </c>
      <c r="Q73" s="19" t="s">
        <v>477</v>
      </c>
    </row>
    <row r="74" spans="2:17" ht="39" customHeight="1" x14ac:dyDescent="0.15">
      <c r="B74" s="455"/>
      <c r="C74" s="458"/>
      <c r="D74" s="458"/>
      <c r="E74" s="458"/>
      <c r="F74" s="458"/>
      <c r="G74" s="719"/>
      <c r="H74" s="470"/>
      <c r="I74" s="469"/>
      <c r="J74" s="462"/>
      <c r="K74" s="447"/>
      <c r="L74" s="463"/>
      <c r="N74" s="410" t="s">
        <v>759</v>
      </c>
      <c r="Q74" s="19" t="s">
        <v>477</v>
      </c>
    </row>
    <row r="75" spans="2:17" ht="39" customHeight="1" x14ac:dyDescent="0.15">
      <c r="B75" s="456"/>
      <c r="C75" s="458"/>
      <c r="D75" s="458"/>
      <c r="E75" s="458"/>
      <c r="F75" s="458"/>
      <c r="G75" s="617"/>
      <c r="H75" s="174"/>
      <c r="I75" s="178" t="s">
        <v>412</v>
      </c>
      <c r="J75" s="464"/>
      <c r="K75" s="465"/>
      <c r="L75" s="466"/>
      <c r="N75" s="410"/>
      <c r="Q75" s="19" t="s">
        <v>477</v>
      </c>
    </row>
    <row r="76" spans="2:17" ht="20.25" customHeight="1" x14ac:dyDescent="0.15">
      <c r="B76" s="494" t="s">
        <v>538</v>
      </c>
      <c r="C76" s="495"/>
      <c r="D76" s="495"/>
      <c r="E76" s="495"/>
      <c r="F76" s="495"/>
      <c r="G76" s="495"/>
      <c r="H76" s="495"/>
      <c r="I76" s="495"/>
      <c r="J76" s="495"/>
      <c r="K76" s="495"/>
      <c r="L76" s="496"/>
      <c r="M76" s="274"/>
    </row>
    <row r="77" spans="2:17" ht="45.75" customHeight="1" x14ac:dyDescent="0.15">
      <c r="B77" s="454" t="s">
        <v>25</v>
      </c>
      <c r="C77" s="458" t="s">
        <v>539</v>
      </c>
      <c r="D77" s="458"/>
      <c r="E77" s="458"/>
      <c r="F77" s="458"/>
      <c r="G77" s="437"/>
      <c r="H77" s="416"/>
      <c r="I77" s="497" t="s">
        <v>413</v>
      </c>
      <c r="J77" s="459"/>
      <c r="K77" s="460"/>
      <c r="L77" s="461"/>
      <c r="N77" s="283" t="s">
        <v>707</v>
      </c>
      <c r="Q77" s="19" t="s">
        <v>486</v>
      </c>
    </row>
    <row r="78" spans="2:17" ht="33.75" customHeight="1" x14ac:dyDescent="0.15">
      <c r="B78" s="455"/>
      <c r="C78" s="458"/>
      <c r="D78" s="458"/>
      <c r="E78" s="458"/>
      <c r="F78" s="458"/>
      <c r="G78" s="438"/>
      <c r="H78" s="417"/>
      <c r="I78" s="499"/>
      <c r="J78" s="462"/>
      <c r="K78" s="447"/>
      <c r="L78" s="463"/>
      <c r="N78" s="410" t="s">
        <v>749</v>
      </c>
      <c r="Q78" s="19" t="s">
        <v>486</v>
      </c>
    </row>
    <row r="79" spans="2:17" ht="39" customHeight="1" x14ac:dyDescent="0.15">
      <c r="B79" s="455"/>
      <c r="C79" s="458"/>
      <c r="D79" s="458"/>
      <c r="E79" s="458"/>
      <c r="F79" s="458"/>
      <c r="G79" s="438"/>
      <c r="H79" s="174"/>
      <c r="I79" s="180" t="s">
        <v>551</v>
      </c>
      <c r="J79" s="462"/>
      <c r="K79" s="447"/>
      <c r="L79" s="463"/>
      <c r="N79" s="410"/>
    </row>
    <row r="80" spans="2:17" ht="46.5" customHeight="1" x14ac:dyDescent="0.15">
      <c r="B80" s="455"/>
      <c r="C80" s="458"/>
      <c r="D80" s="458"/>
      <c r="E80" s="458"/>
      <c r="F80" s="458"/>
      <c r="G80" s="438"/>
      <c r="H80" s="174"/>
      <c r="I80" s="180" t="s">
        <v>552</v>
      </c>
      <c r="J80" s="462"/>
      <c r="K80" s="447"/>
      <c r="L80" s="463"/>
      <c r="N80" s="410"/>
    </row>
    <row r="81" spans="2:17" ht="57.75" customHeight="1" x14ac:dyDescent="0.15">
      <c r="B81" s="456"/>
      <c r="C81" s="458"/>
      <c r="D81" s="458"/>
      <c r="E81" s="458"/>
      <c r="F81" s="458"/>
      <c r="G81" s="439"/>
      <c r="H81" s="182"/>
      <c r="I81" s="175" t="s">
        <v>553</v>
      </c>
      <c r="J81" s="464"/>
      <c r="K81" s="465"/>
      <c r="L81" s="466"/>
      <c r="N81" s="410"/>
    </row>
    <row r="82" spans="2:17" ht="45" customHeight="1" x14ac:dyDescent="0.15">
      <c r="B82" s="484" t="s">
        <v>25</v>
      </c>
      <c r="C82" s="471" t="s">
        <v>540</v>
      </c>
      <c r="D82" s="471"/>
      <c r="E82" s="471"/>
      <c r="F82" s="471"/>
      <c r="G82" s="437"/>
      <c r="H82" s="416"/>
      <c r="I82" s="467" t="s">
        <v>554</v>
      </c>
      <c r="J82" s="480"/>
      <c r="K82" s="644"/>
      <c r="L82" s="644"/>
      <c r="N82" s="283" t="s">
        <v>707</v>
      </c>
      <c r="Q82" s="19" t="s">
        <v>486</v>
      </c>
    </row>
    <row r="83" spans="2:17" ht="53.25" customHeight="1" x14ac:dyDescent="0.15">
      <c r="B83" s="455"/>
      <c r="C83" s="471"/>
      <c r="D83" s="471"/>
      <c r="E83" s="471"/>
      <c r="F83" s="471"/>
      <c r="G83" s="439"/>
      <c r="H83" s="417"/>
      <c r="I83" s="469"/>
      <c r="J83" s="644"/>
      <c r="K83" s="644"/>
      <c r="L83" s="644"/>
      <c r="N83" s="291" t="s">
        <v>750</v>
      </c>
      <c r="Q83" s="19" t="s">
        <v>486</v>
      </c>
    </row>
    <row r="84" spans="2:17" ht="55.5" customHeight="1" x14ac:dyDescent="0.15">
      <c r="B84" s="455"/>
      <c r="C84" s="471"/>
      <c r="D84" s="471"/>
      <c r="E84" s="471"/>
      <c r="F84" s="471"/>
      <c r="G84" s="281" t="str">
        <f>IF(AND(H84="      Same State Satellite Location(s)",J84&lt;&gt;""), "Not Met",IF(AND(H84="      Same State Satellite Location(s)",J84=""),"Met","N/A"))</f>
        <v>N/A</v>
      </c>
      <c r="H84" s="423" t="str">
        <f>IF('Satellite(s)'!$H$6&lt;&gt;"N/A","      Same state satellite location(s)","      No same state satellite location(s)")</f>
        <v xml:space="preserve">      No same state satellite location(s)</v>
      </c>
      <c r="I84" s="424"/>
      <c r="J84" s="625" t="str" cm="1">
        <f t="array" ref="J84">_xlfn.TEXTJOIN("
",TRUE,IF('Satellite(s)'!F46:AB46="Not Met",'Satellite(s)'!F47:AB47,""))</f>
        <v/>
      </c>
      <c r="K84" s="626"/>
      <c r="L84" s="627"/>
      <c r="Q84" s="69" t="s">
        <v>580</v>
      </c>
    </row>
    <row r="85" spans="2:17" ht="55.5" customHeight="1" x14ac:dyDescent="0.15">
      <c r="B85" s="455"/>
      <c r="C85" s="471"/>
      <c r="D85" s="471"/>
      <c r="E85" s="471"/>
      <c r="F85" s="471"/>
      <c r="G85" s="281" t="str">
        <f>IF(AND(H85="      Out-of-state satellite location(s)",J85&lt;&gt;""), "Not Met",IF(AND(H85="      Out-of-state satellite location(s)",J85=""),"Met","N/A"))</f>
        <v>N/A</v>
      </c>
      <c r="H85" s="423" t="str">
        <f>IF('Satellite(s)'!$H$7&lt;&gt;"N/A","      Out-of-state satellite location(s)","      No out-of-state satellite location(s)")</f>
        <v xml:space="preserve">      No out-of-state satellite location(s)</v>
      </c>
      <c r="I85" s="424"/>
      <c r="J85" s="625" t="str" cm="1">
        <f t="array" ref="J85">_xlfn.TEXTJOIN("
",TRUE,IF('Satellite(s)'!F90:L90="Not Met",'Satellite(s)'!F91:L91,""))</f>
        <v/>
      </c>
      <c r="K85" s="626"/>
      <c r="L85" s="627"/>
      <c r="Q85" s="69" t="s">
        <v>581</v>
      </c>
    </row>
    <row r="86" spans="2:17" ht="55.5" customHeight="1" x14ac:dyDescent="0.15">
      <c r="B86" s="456"/>
      <c r="C86" s="471"/>
      <c r="D86" s="471"/>
      <c r="E86" s="471"/>
      <c r="F86" s="471"/>
      <c r="G86" s="281" t="str">
        <f>IF(AND(H86="      Not Approved Satellite Location(s)",J86&lt;&gt;""), "Not Met",IF(AND(H86="      Not Approved Satellite Location(s)",J86=""),"Met","N/A"))</f>
        <v>N/A</v>
      </c>
      <c r="H86" s="423" t="str">
        <f>IF('Satellite(s)'!$H$8&lt;&gt;"","      Not approved satellite location(s)","      No unapproved satellite location(s)")</f>
        <v xml:space="preserve">      No unapproved satellite location(s)</v>
      </c>
      <c r="I86" s="424"/>
      <c r="J86" s="625" t="str" cm="1">
        <f t="array" ref="J86">_xlfn.TEXTJOIN("
",TRUE,IF('Satellite(s)'!F134:L134="Not Met",'Satellite(s)'!F135:L135,""))</f>
        <v/>
      </c>
      <c r="K86" s="626"/>
      <c r="L86" s="627"/>
      <c r="Q86" s="69" t="s">
        <v>582</v>
      </c>
    </row>
    <row r="87" spans="2:17" ht="20.25" customHeight="1" x14ac:dyDescent="0.15">
      <c r="B87" s="494" t="s">
        <v>130</v>
      </c>
      <c r="C87" s="515"/>
      <c r="D87" s="515"/>
      <c r="E87" s="515"/>
      <c r="F87" s="515"/>
      <c r="G87" s="515"/>
      <c r="H87" s="515"/>
      <c r="I87" s="515"/>
      <c r="J87" s="495"/>
      <c r="K87" s="495"/>
      <c r="L87" s="496"/>
    </row>
    <row r="88" spans="2:17" ht="42" customHeight="1" x14ac:dyDescent="0.15">
      <c r="B88" s="484" t="s">
        <v>26</v>
      </c>
      <c r="C88" s="458" t="s">
        <v>27</v>
      </c>
      <c r="D88" s="458"/>
      <c r="E88" s="458"/>
      <c r="F88" s="458"/>
      <c r="G88" s="477"/>
      <c r="H88" s="473" t="s">
        <v>544</v>
      </c>
      <c r="I88" s="474"/>
      <c r="J88" s="460"/>
      <c r="K88" s="460"/>
      <c r="L88" s="461"/>
      <c r="N88" s="283" t="s">
        <v>733</v>
      </c>
      <c r="Q88" s="19" t="s">
        <v>217</v>
      </c>
    </row>
    <row r="89" spans="2:17" ht="40.25" customHeight="1" x14ac:dyDescent="0.15">
      <c r="B89" s="455"/>
      <c r="C89" s="458"/>
      <c r="D89" s="458"/>
      <c r="E89" s="458"/>
      <c r="F89" s="458"/>
      <c r="G89" s="477"/>
      <c r="H89" s="475"/>
      <c r="I89" s="476"/>
      <c r="J89" s="462"/>
      <c r="K89" s="447"/>
      <c r="L89" s="463"/>
      <c r="N89" s="410" t="s">
        <v>708</v>
      </c>
      <c r="Q89" s="19" t="s">
        <v>217</v>
      </c>
    </row>
    <row r="90" spans="2:17" ht="33" customHeight="1" x14ac:dyDescent="0.15">
      <c r="B90" s="455"/>
      <c r="C90" s="458"/>
      <c r="D90" s="458"/>
      <c r="E90" s="458"/>
      <c r="F90" s="458"/>
      <c r="G90" s="477"/>
      <c r="H90" s="188"/>
      <c r="I90" s="178" t="s">
        <v>414</v>
      </c>
      <c r="J90" s="462"/>
      <c r="K90" s="447"/>
      <c r="L90" s="463"/>
      <c r="N90" s="472"/>
    </row>
    <row r="91" spans="2:17" ht="33" customHeight="1" x14ac:dyDescent="0.15">
      <c r="B91" s="455"/>
      <c r="C91" s="458"/>
      <c r="D91" s="458"/>
      <c r="E91" s="458"/>
      <c r="F91" s="458"/>
      <c r="G91" s="477"/>
      <c r="H91" s="188"/>
      <c r="I91" s="176" t="s">
        <v>415</v>
      </c>
      <c r="J91" s="462"/>
      <c r="K91" s="447"/>
      <c r="L91" s="463"/>
      <c r="N91" s="472"/>
    </row>
    <row r="92" spans="2:17" ht="33" customHeight="1" x14ac:dyDescent="0.15">
      <c r="B92" s="455"/>
      <c r="C92" s="458"/>
      <c r="D92" s="458"/>
      <c r="E92" s="458"/>
      <c r="F92" s="458"/>
      <c r="G92" s="477"/>
      <c r="H92" s="188"/>
      <c r="I92" s="181" t="s">
        <v>129</v>
      </c>
      <c r="J92" s="462"/>
      <c r="K92" s="447"/>
      <c r="L92" s="463"/>
      <c r="N92" s="472"/>
    </row>
    <row r="93" spans="2:17" ht="42" customHeight="1" x14ac:dyDescent="0.15">
      <c r="B93" s="455"/>
      <c r="C93" s="458"/>
      <c r="D93" s="458"/>
      <c r="E93" s="458"/>
      <c r="F93" s="458"/>
      <c r="G93" s="477"/>
      <c r="H93" s="188"/>
      <c r="I93" s="176" t="s">
        <v>501</v>
      </c>
      <c r="J93" s="462"/>
      <c r="K93" s="447"/>
      <c r="L93" s="463"/>
      <c r="N93" s="472"/>
    </row>
    <row r="94" spans="2:17" ht="55.5" customHeight="1" x14ac:dyDescent="0.15">
      <c r="B94" s="455"/>
      <c r="C94" s="458"/>
      <c r="D94" s="458"/>
      <c r="E94" s="458"/>
      <c r="F94" s="458"/>
      <c r="G94" s="477"/>
      <c r="H94" s="188"/>
      <c r="I94" s="176" t="s">
        <v>795</v>
      </c>
      <c r="J94" s="462"/>
      <c r="K94" s="447"/>
      <c r="L94" s="463"/>
      <c r="N94" s="472"/>
    </row>
    <row r="95" spans="2:17" ht="33" customHeight="1" x14ac:dyDescent="0.15">
      <c r="B95" s="456"/>
      <c r="C95" s="458"/>
      <c r="D95" s="458"/>
      <c r="E95" s="458"/>
      <c r="F95" s="458"/>
      <c r="G95" s="477"/>
      <c r="H95" s="188"/>
      <c r="I95" s="181" t="s">
        <v>416</v>
      </c>
      <c r="J95" s="464"/>
      <c r="K95" s="465"/>
      <c r="L95" s="466"/>
      <c r="N95" s="472"/>
    </row>
    <row r="96" spans="2:17" ht="20.25" customHeight="1" x14ac:dyDescent="0.15">
      <c r="B96" s="494" t="s">
        <v>139</v>
      </c>
      <c r="C96" s="495"/>
      <c r="D96" s="495"/>
      <c r="E96" s="495"/>
      <c r="F96" s="495"/>
      <c r="G96" s="495"/>
      <c r="H96" s="495"/>
      <c r="I96" s="495"/>
      <c r="J96" s="495"/>
      <c r="K96" s="495"/>
      <c r="L96" s="496"/>
    </row>
    <row r="97" spans="2:105" ht="39" customHeight="1" x14ac:dyDescent="0.15">
      <c r="B97" s="521" t="s">
        <v>28</v>
      </c>
      <c r="C97" s="515"/>
      <c r="D97" s="515"/>
      <c r="E97" s="515"/>
      <c r="F97" s="515"/>
      <c r="G97" s="515"/>
      <c r="H97" s="515"/>
      <c r="I97" s="515"/>
      <c r="J97" s="495"/>
      <c r="K97" s="495"/>
      <c r="L97" s="496"/>
    </row>
    <row r="98" spans="2:105" ht="48.75" customHeight="1" x14ac:dyDescent="0.15">
      <c r="B98" s="484" t="s">
        <v>29</v>
      </c>
      <c r="C98" s="458" t="s">
        <v>200</v>
      </c>
      <c r="D98" s="458"/>
      <c r="E98" s="458"/>
      <c r="F98" s="458"/>
      <c r="G98" s="437"/>
      <c r="H98" s="416"/>
      <c r="I98" s="467" t="s">
        <v>211</v>
      </c>
      <c r="J98" s="460"/>
      <c r="K98" s="460"/>
      <c r="L98" s="461"/>
      <c r="N98" s="286" t="s">
        <v>734</v>
      </c>
      <c r="Q98" s="19" t="s">
        <v>218</v>
      </c>
    </row>
    <row r="99" spans="2:105" ht="39" customHeight="1" x14ac:dyDescent="0.15">
      <c r="B99" s="455"/>
      <c r="C99" s="458"/>
      <c r="D99" s="458"/>
      <c r="E99" s="458"/>
      <c r="F99" s="458"/>
      <c r="G99" s="438"/>
      <c r="H99" s="417"/>
      <c r="I99" s="469"/>
      <c r="J99" s="462"/>
      <c r="K99" s="447"/>
      <c r="L99" s="463"/>
      <c r="N99" s="472" t="s">
        <v>659</v>
      </c>
      <c r="Q99" s="19" t="s">
        <v>218</v>
      </c>
    </row>
    <row r="100" spans="2:105" ht="39" customHeight="1" x14ac:dyDescent="0.15">
      <c r="B100" s="455"/>
      <c r="C100" s="458"/>
      <c r="D100" s="458"/>
      <c r="E100" s="458"/>
      <c r="F100" s="458"/>
      <c r="G100" s="438"/>
      <c r="H100" s="174"/>
      <c r="I100" s="180" t="s">
        <v>417</v>
      </c>
      <c r="J100" s="462"/>
      <c r="K100" s="447"/>
      <c r="L100" s="463"/>
      <c r="N100" s="472"/>
    </row>
    <row r="101" spans="2:105" ht="145.5" customHeight="1" x14ac:dyDescent="0.15">
      <c r="B101" s="456"/>
      <c r="C101" s="458"/>
      <c r="D101" s="458"/>
      <c r="E101" s="458"/>
      <c r="F101" s="458"/>
      <c r="G101" s="439"/>
      <c r="H101" s="182"/>
      <c r="I101" s="175" t="s">
        <v>418</v>
      </c>
      <c r="J101" s="462"/>
      <c r="K101" s="447"/>
      <c r="L101" s="463"/>
      <c r="N101" s="472"/>
    </row>
    <row r="102" spans="2:105" ht="19.5" customHeight="1" x14ac:dyDescent="0.15">
      <c r="B102" s="484" t="s">
        <v>30</v>
      </c>
      <c r="C102" s="458" t="s">
        <v>199</v>
      </c>
      <c r="D102" s="458"/>
      <c r="E102" s="458"/>
      <c r="F102" s="458"/>
      <c r="G102" s="437"/>
      <c r="H102" s="416"/>
      <c r="I102" s="497" t="str">
        <f>IF($B$2="PRELIMINARY SITE VISIT REPORT FINDINGS", "Plan for periodic assessment &amp; review of evaluations of the program, faculty, and clinical &amp; field internship sites", "Evidence of periodic assessment &amp; review of evaluations of the program, faculty, and clinical &amp; field internship sites")</f>
        <v>Evidence of periodic assessment &amp; review of evaluations of the program, faculty, and clinical &amp; field internship sites</v>
      </c>
      <c r="J102" s="460"/>
      <c r="K102" s="460"/>
      <c r="L102" s="461"/>
      <c r="N102" s="283" t="s">
        <v>735</v>
      </c>
      <c r="Q102" s="19" t="s">
        <v>219</v>
      </c>
    </row>
    <row r="103" spans="2:105" ht="15.75" customHeight="1" x14ac:dyDescent="0.15">
      <c r="B103" s="455"/>
      <c r="C103" s="458"/>
      <c r="D103" s="458"/>
      <c r="E103" s="458"/>
      <c r="F103" s="458"/>
      <c r="G103" s="438"/>
      <c r="H103" s="657"/>
      <c r="I103" s="498"/>
      <c r="J103" s="462"/>
      <c r="K103" s="447"/>
      <c r="L103" s="463"/>
      <c r="M103" s="41"/>
      <c r="N103" s="410" t="s">
        <v>724</v>
      </c>
      <c r="Q103" s="19" t="s">
        <v>219</v>
      </c>
    </row>
    <row r="104" spans="2:105" ht="17.25" customHeight="1" x14ac:dyDescent="0.15">
      <c r="B104" s="455"/>
      <c r="C104" s="458"/>
      <c r="D104" s="458"/>
      <c r="E104" s="458"/>
      <c r="F104" s="458"/>
      <c r="G104" s="438"/>
      <c r="H104" s="657"/>
      <c r="I104" s="498"/>
      <c r="J104" s="462"/>
      <c r="K104" s="447"/>
      <c r="L104" s="463"/>
      <c r="M104" s="41"/>
      <c r="N104" s="410"/>
    </row>
    <row r="105" spans="2:105" ht="68.25" customHeight="1" x14ac:dyDescent="0.15">
      <c r="B105" s="456"/>
      <c r="C105" s="458"/>
      <c r="D105" s="458"/>
      <c r="E105" s="458"/>
      <c r="F105" s="458"/>
      <c r="G105" s="439"/>
      <c r="H105" s="417"/>
      <c r="I105" s="499"/>
      <c r="J105" s="462"/>
      <c r="K105" s="447"/>
      <c r="L105" s="463"/>
      <c r="N105" s="410"/>
    </row>
    <row r="106" spans="2:105" ht="58.5" customHeight="1" x14ac:dyDescent="0.15">
      <c r="B106" s="204" t="s">
        <v>31</v>
      </c>
      <c r="C106" s="425" t="s">
        <v>512</v>
      </c>
      <c r="D106" s="426"/>
      <c r="E106" s="426"/>
      <c r="F106" s="427"/>
      <c r="G106" s="210"/>
      <c r="H106" s="174"/>
      <c r="I106" s="176" t="s">
        <v>513</v>
      </c>
      <c r="J106" s="459"/>
      <c r="K106" s="460"/>
      <c r="L106" s="461"/>
      <c r="N106" s="287" t="s">
        <v>660</v>
      </c>
      <c r="Q106" s="19" t="s">
        <v>220</v>
      </c>
    </row>
    <row r="107" spans="2:105" s="9" customFormat="1" ht="47.25" customHeight="1" x14ac:dyDescent="0.15">
      <c r="B107" s="454" t="s">
        <v>32</v>
      </c>
      <c r="C107" s="425" t="s">
        <v>514</v>
      </c>
      <c r="D107" s="426"/>
      <c r="E107" s="426"/>
      <c r="F107" s="427"/>
      <c r="G107" s="492"/>
      <c r="H107" s="174"/>
      <c r="I107" s="175" t="str">
        <f>IF($B$2="PRELIMINARY SITE VISIT REPORT FINDINGS","Plan for periodic assessment of clinical and field sites and capstone field internship preceptors", "Periodic assessment of clinical and field sites and capstone field internship preceptors")</f>
        <v>Periodic assessment of clinical and field sites and capstone field internship preceptors</v>
      </c>
      <c r="J107" s="459"/>
      <c r="K107" s="460"/>
      <c r="L107" s="461"/>
      <c r="M107" s="51"/>
      <c r="N107" s="481" t="s">
        <v>767</v>
      </c>
      <c r="O107" s="51"/>
      <c r="P107" s="51"/>
      <c r="Q107" s="51" t="s">
        <v>221</v>
      </c>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c r="CX107" s="51"/>
      <c r="CY107" s="51"/>
      <c r="CZ107" s="51"/>
      <c r="DA107" s="51"/>
    </row>
    <row r="108" spans="2:105" s="9" customFormat="1" ht="183" customHeight="1" x14ac:dyDescent="0.15">
      <c r="B108" s="455"/>
      <c r="C108" s="428"/>
      <c r="D108" s="429"/>
      <c r="E108" s="429"/>
      <c r="F108" s="430"/>
      <c r="G108" s="519"/>
      <c r="H108" s="174"/>
      <c r="I108" s="175" t="str">
        <f>IF($B$2="PRELIMINARY SITE VISIT REPORT FINDINGS","Plan or evidence of orientation program for clinical &amp; field experience liaisons including
  • Purposes of the student rotation
    (minimum competencies, skills, 
     and"&amp;" behaviors)
  • Evaluation tools used by the 
     program  
  • Criteria of evaluation for grading 
     students"&amp;"
  • Contact information for the 
      program", "Evidence of orientation for clinical &amp; field experience liaisons including: 
  • Purposes of the student rotation
    (minimum competencies, skills, 
     and"&amp;" behaviors)
  • Evaluation tools used by the 
     program  
  • Criteria of evaluation for grading 
     students"&amp;"
  • Contact information for the 
      program")</f>
        <v>Evidence of orientation for clinical &amp; field experience liaisons including: 
  • Purposes of the student rotation
    (minimum competencies, skills, 
     and behaviors)
  • Evaluation tools used by the 
     program  
  • Criteria of evaluation for grading 
     students
  • Contact information for the 
      program</v>
      </c>
      <c r="J108" s="462"/>
      <c r="K108" s="447"/>
      <c r="L108" s="463"/>
      <c r="M108" s="51"/>
      <c r="N108" s="48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c r="CW108" s="51"/>
      <c r="CX108" s="51"/>
      <c r="CY108" s="51"/>
      <c r="CZ108" s="51"/>
      <c r="DA108" s="51"/>
    </row>
    <row r="109" spans="2:105" s="9" customFormat="1" ht="258.75" customHeight="1" x14ac:dyDescent="0.15">
      <c r="B109" s="455"/>
      <c r="C109" s="428"/>
      <c r="D109" s="429"/>
      <c r="E109" s="429"/>
      <c r="F109" s="430"/>
      <c r="G109" s="519"/>
      <c r="H109" s="174"/>
      <c r="I109" s="175" t="str">
        <f>IF($B$2="PRELIMINARY SITE VISIT REPORT FINDINGS","Plan or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f>
        <v>Evidence of training of each capstone field internship preceptor to include:
  • Purposes of the student rotation
     (minimum competencies, skills, 
     and behaviors)
  • Evaluation tools used by the 
     program  
  • Criteria of evaluation for grading 
     students
  • Contact information for the 
     program 
  • Program's definition of team lead
  • Program's required minimum 
     number of team leads
  • Coaching techniques</v>
      </c>
      <c r="J109" s="462"/>
      <c r="K109" s="447"/>
      <c r="L109" s="463"/>
      <c r="M109" s="51"/>
      <c r="N109" s="48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row>
    <row r="110" spans="2:105" s="9" customFormat="1" ht="55.5" customHeight="1" x14ac:dyDescent="0.15">
      <c r="B110" s="751" t="s">
        <v>542</v>
      </c>
      <c r="C110" s="425" t="s">
        <v>532</v>
      </c>
      <c r="D110" s="426"/>
      <c r="E110" s="426"/>
      <c r="F110" s="427"/>
      <c r="G110" s="206" t="str">
        <f>IF(AND(H110="      Same State Satellite Location(s)",J110&lt;&gt;""), "Not Met",IF(AND(H110="      Same State Satellite Location(s)",J110=""),"Met","N/A"))</f>
        <v>N/A</v>
      </c>
      <c r="H110" s="423" t="str">
        <f>IF('Satellite(s)'!$H$6&lt;&gt;"N/A","      Same state satellite location(s)","      No same state satellite location(s)")</f>
        <v xml:space="preserve">      No same state satellite location(s)</v>
      </c>
      <c r="I110" s="424"/>
      <c r="J110" s="542" t="str" cm="1">
        <f t="array" ref="J110">_xlfn.TEXTJOIN("
",TRUE,IF('Satellite(s)'!F21:AB21="Not Met","The PD is not responsible for satellite management at the following location(s):" &amp; 'Satellite(s)'!F13:AB13,""))</f>
        <v/>
      </c>
      <c r="K110" s="543"/>
      <c r="L110" s="544"/>
      <c r="M110" s="253"/>
      <c r="N110" s="51"/>
      <c r="O110" s="51"/>
      <c r="P110" s="51"/>
      <c r="Q110" s="260" t="s">
        <v>583</v>
      </c>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c r="CX110" s="51"/>
      <c r="CY110" s="51"/>
      <c r="CZ110" s="51"/>
      <c r="DA110" s="51"/>
    </row>
    <row r="111" spans="2:105" s="9" customFormat="1" ht="55.5" customHeight="1" x14ac:dyDescent="0.15">
      <c r="B111" s="563"/>
      <c r="C111" s="428"/>
      <c r="D111" s="429"/>
      <c r="E111" s="429"/>
      <c r="F111" s="430"/>
      <c r="G111" s="206" t="str">
        <f>IF(AND(H111="      Out-of-state satellite location(s)",J111&lt;&gt;""), "Not Met",IF(AND(H111="      Out-of-state satellite location(s)",J111=""),"Met","N/A"))</f>
        <v>N/A</v>
      </c>
      <c r="H111" s="423" t="str">
        <f>IF('Satellite(s)'!$H$7&lt;&gt;"N/A","      Out-of-state satellite location(s)","      No out-of-state satellite location(s)")</f>
        <v xml:space="preserve">      No out-of-state satellite location(s)</v>
      </c>
      <c r="I111" s="424"/>
      <c r="J111" s="542" t="str" cm="1">
        <f t="array" ref="J111">_xlfn.TEXTJOIN("
",TRUE,IF('Satellite(s)'!F65:L65="Not Met","The PD is not responsible for satellite management at the following location(s):" &amp; 'Satellite(s)'!F57:L57,""))</f>
        <v/>
      </c>
      <c r="K111" s="543"/>
      <c r="L111" s="544"/>
      <c r="M111" s="253"/>
      <c r="N111" s="51"/>
      <c r="O111" s="51"/>
      <c r="P111" s="51"/>
      <c r="Q111" s="260" t="s">
        <v>584</v>
      </c>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c r="CH111" s="51"/>
      <c r="CI111" s="51"/>
      <c r="CJ111" s="51"/>
      <c r="CK111" s="51"/>
      <c r="CL111" s="51"/>
      <c r="CM111" s="51"/>
      <c r="CN111" s="51"/>
      <c r="CO111" s="51"/>
      <c r="CP111" s="51"/>
      <c r="CQ111" s="51"/>
      <c r="CR111" s="51"/>
      <c r="CS111" s="51"/>
      <c r="CT111" s="51"/>
      <c r="CU111" s="51"/>
      <c r="CV111" s="51"/>
      <c r="CW111" s="51"/>
      <c r="CX111" s="51"/>
      <c r="CY111" s="51"/>
      <c r="CZ111" s="51"/>
      <c r="DA111" s="51"/>
    </row>
    <row r="112" spans="2:105" s="9" customFormat="1" ht="55.5" customHeight="1" x14ac:dyDescent="0.15">
      <c r="B112" s="564"/>
      <c r="C112" s="431"/>
      <c r="D112" s="432"/>
      <c r="E112" s="432"/>
      <c r="F112" s="433"/>
      <c r="G112" s="206" t="str">
        <f>IF(AND(H112="      Not Approved Satellite Location(s)",J112&lt;&gt;""), "Not Met",IF(AND(H112="      Not Approved Satellite Location(s)",J112=""),"Met","N/A"))</f>
        <v>N/A</v>
      </c>
      <c r="H112" s="423" t="str">
        <f>IF('Satellite(s)'!$H$8&lt;&gt;"","      Not approved satellite location(s)","      No unapproved satellite location(s)")</f>
        <v xml:space="preserve">      No unapproved satellite location(s)</v>
      </c>
      <c r="I112" s="424"/>
      <c r="J112" s="542" t="str" cm="1">
        <f t="array" ref="J112">_xlfn.TEXTJOIN("
",TRUE,IF('Satellite(s)'!F109:L109="Not Met","The PD is not responsible for satellite management at the following location(s):" &amp; 'Satellite(s)'!F101:L101,""))</f>
        <v/>
      </c>
      <c r="K112" s="543"/>
      <c r="L112" s="544"/>
      <c r="M112" s="253"/>
      <c r="N112" s="51"/>
      <c r="O112" s="51"/>
      <c r="P112" s="51"/>
      <c r="Q112" s="260" t="s">
        <v>585</v>
      </c>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c r="CH112" s="51"/>
      <c r="CI112" s="51"/>
      <c r="CJ112" s="51"/>
      <c r="CK112" s="51"/>
      <c r="CL112" s="51"/>
      <c r="CM112" s="51"/>
      <c r="CN112" s="51"/>
      <c r="CO112" s="51"/>
      <c r="CP112" s="51"/>
      <c r="CQ112" s="51"/>
      <c r="CR112" s="51"/>
      <c r="CS112" s="51"/>
      <c r="CT112" s="51"/>
      <c r="CU112" s="51"/>
      <c r="CV112" s="51"/>
      <c r="CW112" s="51"/>
      <c r="CX112" s="51"/>
      <c r="CY112" s="51"/>
      <c r="CZ112" s="51"/>
      <c r="DA112" s="51"/>
    </row>
    <row r="113" spans="2:105" s="9" customFormat="1" ht="55.5" customHeight="1" x14ac:dyDescent="0.15">
      <c r="B113" s="751" t="s">
        <v>543</v>
      </c>
      <c r="C113" s="425" t="s">
        <v>621</v>
      </c>
      <c r="D113" s="426"/>
      <c r="E113" s="426"/>
      <c r="F113" s="427"/>
      <c r="G113" s="206" t="str">
        <f>IF(AND(H113="      Same State Satellite Location(s)",J113&lt;&gt;""), "Not Met",IF(AND(H113="      Same State Satellite Location(s)",J113=""),"Met","N/A"))</f>
        <v>N/A</v>
      </c>
      <c r="H113" s="423" t="str">
        <f>IF('Satellite(s)'!$H$6&lt;&gt;"N/A","      same state satellite location(s)","      No same state satellite location(s)")</f>
        <v xml:space="preserve">      No same state satellite location(s)</v>
      </c>
      <c r="I113" s="424"/>
      <c r="J113" s="420" t="str" cm="1">
        <f t="array" ref="J113">_xlfn.TEXTJOIN("
",TRUE,IF('Satellite(s)'!F48:AB48="Not Met",'Satellite(s)'!F49:AB49,""))</f>
        <v/>
      </c>
      <c r="K113" s="421"/>
      <c r="L113" s="422"/>
      <c r="M113" s="51"/>
      <c r="N113" s="51"/>
      <c r="O113" s="51"/>
      <c r="P113" s="51"/>
      <c r="Q113" s="260" t="s">
        <v>586</v>
      </c>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c r="CH113" s="51"/>
      <c r="CI113" s="51"/>
      <c r="CJ113" s="51"/>
      <c r="CK113" s="51"/>
      <c r="CL113" s="51"/>
      <c r="CM113" s="51"/>
      <c r="CN113" s="51"/>
      <c r="CO113" s="51"/>
      <c r="CP113" s="51"/>
      <c r="CQ113" s="51"/>
      <c r="CR113" s="51"/>
      <c r="CS113" s="51"/>
      <c r="CT113" s="51"/>
      <c r="CU113" s="51"/>
      <c r="CV113" s="51"/>
      <c r="CW113" s="51"/>
      <c r="CX113" s="51"/>
      <c r="CY113" s="51"/>
      <c r="CZ113" s="51"/>
      <c r="DA113" s="51"/>
    </row>
    <row r="114" spans="2:105" s="9" customFormat="1" ht="63.75" customHeight="1" x14ac:dyDescent="0.15">
      <c r="B114" s="563"/>
      <c r="C114" s="428"/>
      <c r="D114" s="429"/>
      <c r="E114" s="429"/>
      <c r="F114" s="430"/>
      <c r="G114" s="206" t="str">
        <f>IF(AND(H114="      Out-of-state satellite location(s)",J114&lt;&gt;""), "Not Met",IF(AND(H114="      Out-of-state satellite location(s)",J114=""),"Met","N/A"))</f>
        <v>N/A</v>
      </c>
      <c r="H114" s="423" t="str">
        <f>IF('Satellite(s)'!$H$7&lt;&gt;"N/A","      Out-of-state satellite location(s)","      No out-of-state satellite location(s)")</f>
        <v xml:space="preserve">      No out-of-state satellite location(s)</v>
      </c>
      <c r="I114" s="424"/>
      <c r="J114" s="420" t="str" cm="1">
        <f t="array" ref="J114">_xlfn.TEXTJOIN("
",TRUE,IF('Satellite(s)'!F92:L92="Not Met",'Satellite(s)'!F93:L93,""))</f>
        <v/>
      </c>
      <c r="K114" s="421"/>
      <c r="L114" s="422"/>
      <c r="M114" s="51"/>
      <c r="N114" s="51"/>
      <c r="O114" s="51"/>
      <c r="P114" s="51"/>
      <c r="Q114" s="260" t="s">
        <v>587</v>
      </c>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row>
    <row r="115" spans="2:105" s="9" customFormat="1" ht="63.75" customHeight="1" x14ac:dyDescent="0.15">
      <c r="B115" s="564"/>
      <c r="C115" s="431"/>
      <c r="D115" s="432"/>
      <c r="E115" s="432"/>
      <c r="F115" s="433"/>
      <c r="G115" s="206" t="str">
        <f>IF(AND(H115="      Not Approved Satellite Location(s)",J115&lt;&gt;""), "Not Met",IF(AND(H115="      Not Approved Satellite Location(s)",J115=""),"Met","N/A"))</f>
        <v>N/A</v>
      </c>
      <c r="H115" s="423" t="str">
        <f>IF('Satellite(s)'!$H$8&lt;&gt;"","      Not approved satellite location(s)","      No unapproved satellite location(s)")</f>
        <v xml:space="preserve">      No unapproved satellite location(s)</v>
      </c>
      <c r="I115" s="424"/>
      <c r="J115" s="420" t="str" cm="1">
        <f t="array" ref="J115">_xlfn.TEXTJOIN("
",TRUE,IF('Satellite(s)'!F136:L136="Not Met",'Satellite(s)'!F137:L137,""))</f>
        <v/>
      </c>
      <c r="K115" s="421"/>
      <c r="L115" s="422"/>
      <c r="M115" s="51"/>
      <c r="N115" s="51"/>
      <c r="O115" s="51"/>
      <c r="P115" s="51"/>
      <c r="Q115" s="260" t="s">
        <v>588</v>
      </c>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c r="CH115" s="51"/>
      <c r="CI115" s="51"/>
      <c r="CJ115" s="51"/>
      <c r="CK115" s="51"/>
      <c r="CL115" s="51"/>
      <c r="CM115" s="51"/>
      <c r="CN115" s="51"/>
      <c r="CO115" s="51"/>
      <c r="CP115" s="51"/>
      <c r="CQ115" s="51"/>
      <c r="CR115" s="51"/>
      <c r="CS115" s="51"/>
      <c r="CT115" s="51"/>
      <c r="CU115" s="51"/>
      <c r="CV115" s="51"/>
      <c r="CW115" s="51"/>
      <c r="CX115" s="51"/>
      <c r="CY115" s="51"/>
      <c r="CZ115" s="51"/>
      <c r="DA115" s="51"/>
    </row>
    <row r="116" spans="2:105" ht="20.25" customHeight="1" x14ac:dyDescent="0.15">
      <c r="B116" s="494" t="s">
        <v>137</v>
      </c>
      <c r="C116" s="495"/>
      <c r="D116" s="495"/>
      <c r="E116" s="495"/>
      <c r="F116" s="495"/>
      <c r="G116" s="495"/>
      <c r="H116" s="495"/>
      <c r="I116" s="495"/>
      <c r="J116" s="495"/>
      <c r="K116" s="495"/>
      <c r="L116" s="496"/>
    </row>
    <row r="117" spans="2:105" s="7" customFormat="1" ht="33" customHeight="1" x14ac:dyDescent="0.15">
      <c r="B117" s="211" t="s">
        <v>34</v>
      </c>
      <c r="C117" s="502" t="str">
        <f>IF('Cover Page'!D8="AEMT","Minimum of an Associate's degree","Minimum of a Bachelor's degree")</f>
        <v>Minimum of a Bachelor's degree</v>
      </c>
      <c r="D117" s="503"/>
      <c r="E117" s="503"/>
      <c r="F117" s="504"/>
      <c r="G117" s="208"/>
      <c r="H117" s="669" t="s">
        <v>362</v>
      </c>
      <c r="I117" s="670"/>
      <c r="J117" s="478"/>
      <c r="K117" s="479"/>
      <c r="L117" s="480"/>
      <c r="M117" s="52"/>
      <c r="N117" s="287" t="s">
        <v>778</v>
      </c>
      <c r="O117" s="52"/>
      <c r="P117" s="52"/>
      <c r="Q117" s="52" t="s">
        <v>222</v>
      </c>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c r="CH117" s="52"/>
      <c r="CI117" s="52"/>
      <c r="CJ117" s="52"/>
      <c r="CK117" s="52"/>
      <c r="CL117" s="52"/>
      <c r="CM117" s="52"/>
      <c r="CN117" s="52"/>
      <c r="CO117" s="52"/>
      <c r="CP117" s="52"/>
      <c r="CQ117" s="52"/>
      <c r="CR117" s="52"/>
      <c r="CS117" s="52"/>
      <c r="CT117" s="52"/>
      <c r="CU117" s="52"/>
      <c r="CV117" s="52"/>
      <c r="CW117" s="52"/>
      <c r="CX117" s="52"/>
      <c r="CY117" s="52"/>
      <c r="CZ117" s="52"/>
      <c r="DA117" s="52"/>
    </row>
    <row r="118" spans="2:105" ht="37.5" customHeight="1" x14ac:dyDescent="0.15">
      <c r="B118" s="211" t="s">
        <v>35</v>
      </c>
      <c r="C118" s="752" t="s">
        <v>502</v>
      </c>
      <c r="D118" s="753"/>
      <c r="E118" s="753"/>
      <c r="F118" s="754"/>
      <c r="G118" s="208"/>
      <c r="H118" s="720"/>
      <c r="I118" s="721"/>
      <c r="J118" s="478"/>
      <c r="K118" s="479"/>
      <c r="L118" s="480"/>
      <c r="N118" s="287" t="s">
        <v>778</v>
      </c>
      <c r="Q118" s="63" t="s">
        <v>223</v>
      </c>
    </row>
    <row r="119" spans="2:105" ht="47.25" customHeight="1" x14ac:dyDescent="0.15">
      <c r="B119" s="211" t="s">
        <v>36</v>
      </c>
      <c r="C119" s="502" t="s">
        <v>503</v>
      </c>
      <c r="D119" s="503"/>
      <c r="E119" s="503"/>
      <c r="F119" s="504"/>
      <c r="G119" s="205"/>
      <c r="H119" s="669" t="s">
        <v>362</v>
      </c>
      <c r="I119" s="670"/>
      <c r="J119" s="434"/>
      <c r="K119" s="435"/>
      <c r="L119" s="436"/>
      <c r="N119" s="287" t="s">
        <v>778</v>
      </c>
      <c r="Q119" s="19" t="s">
        <v>224</v>
      </c>
    </row>
    <row r="120" spans="2:105" ht="41.25" customHeight="1" x14ac:dyDescent="0.15">
      <c r="B120" s="211" t="s">
        <v>37</v>
      </c>
      <c r="C120" s="502" t="s">
        <v>505</v>
      </c>
      <c r="D120" s="503"/>
      <c r="E120" s="503"/>
      <c r="F120" s="504"/>
      <c r="G120" s="205"/>
      <c r="H120" s="720"/>
      <c r="I120" s="721"/>
      <c r="J120" s="434"/>
      <c r="K120" s="435"/>
      <c r="L120" s="436"/>
      <c r="N120" s="287" t="s">
        <v>778</v>
      </c>
      <c r="Q120" s="19" t="s">
        <v>225</v>
      </c>
    </row>
    <row r="121" spans="2:105" ht="65" customHeight="1" x14ac:dyDescent="0.15">
      <c r="B121" s="211" t="s">
        <v>38</v>
      </c>
      <c r="C121" s="502" t="s">
        <v>506</v>
      </c>
      <c r="D121" s="503"/>
      <c r="E121" s="503"/>
      <c r="F121" s="504"/>
      <c r="G121" s="208"/>
      <c r="H121" s="174"/>
      <c r="I121" s="176" t="s">
        <v>385</v>
      </c>
      <c r="J121" s="478"/>
      <c r="K121" s="479"/>
      <c r="L121" s="480"/>
      <c r="N121" s="288" t="s">
        <v>661</v>
      </c>
      <c r="Q121" s="19" t="s">
        <v>226</v>
      </c>
    </row>
    <row r="122" spans="2:105" ht="20.25" customHeight="1" x14ac:dyDescent="0.15">
      <c r="B122" s="494" t="s">
        <v>140</v>
      </c>
      <c r="C122" s="495"/>
      <c r="D122" s="495"/>
      <c r="E122" s="495"/>
      <c r="F122" s="495"/>
      <c r="G122" s="495"/>
      <c r="H122" s="495"/>
      <c r="I122" s="495"/>
      <c r="J122" s="495"/>
      <c r="K122" s="495"/>
      <c r="L122" s="496"/>
      <c r="M122" s="41"/>
    </row>
    <row r="123" spans="2:105" ht="35.25" customHeight="1" x14ac:dyDescent="0.15">
      <c r="B123" s="746" t="s">
        <v>445</v>
      </c>
      <c r="C123" s="747"/>
      <c r="D123" s="747"/>
      <c r="E123" s="747"/>
      <c r="F123" s="747"/>
      <c r="G123" s="747"/>
      <c r="H123" s="747"/>
      <c r="I123" s="747"/>
      <c r="J123" s="747"/>
      <c r="K123" s="747"/>
      <c r="L123" s="748"/>
    </row>
    <row r="124" spans="2:105" ht="88.5" customHeight="1" x14ac:dyDescent="0.15">
      <c r="B124" s="204" t="s">
        <v>39</v>
      </c>
      <c r="C124" s="425" t="s">
        <v>507</v>
      </c>
      <c r="D124" s="426"/>
      <c r="E124" s="426"/>
      <c r="F124" s="427"/>
      <c r="G124" s="203"/>
      <c r="H124" s="174"/>
      <c r="I124" s="178" t="s">
        <v>629</v>
      </c>
      <c r="J124" s="459"/>
      <c r="K124" s="460"/>
      <c r="L124" s="461"/>
      <c r="N124" s="287" t="s">
        <v>662</v>
      </c>
      <c r="Q124" s="19" t="s">
        <v>227</v>
      </c>
    </row>
    <row r="125" spans="2:105" ht="51.75" customHeight="1" x14ac:dyDescent="0.15">
      <c r="B125" s="204" t="s">
        <v>40</v>
      </c>
      <c r="C125" s="425" t="s">
        <v>146</v>
      </c>
      <c r="D125" s="426"/>
      <c r="E125" s="426"/>
      <c r="F125" s="427"/>
      <c r="G125" s="203"/>
      <c r="H125" s="174"/>
      <c r="I125" s="176" t="s">
        <v>630</v>
      </c>
      <c r="J125" s="459"/>
      <c r="K125" s="460"/>
      <c r="L125" s="461"/>
      <c r="N125" s="287" t="s">
        <v>756</v>
      </c>
      <c r="Q125" s="19" t="s">
        <v>228</v>
      </c>
    </row>
    <row r="126" spans="2:105" ht="64.5" customHeight="1" x14ac:dyDescent="0.15">
      <c r="B126" s="211" t="s">
        <v>41</v>
      </c>
      <c r="C126" s="502" t="s">
        <v>508</v>
      </c>
      <c r="D126" s="503"/>
      <c r="E126" s="503"/>
      <c r="F126" s="504"/>
      <c r="G126" s="205"/>
      <c r="H126" s="174"/>
      <c r="I126" s="176" t="str">
        <f>IF($B$2="PRELIMINARY SITE VISIT REPORT FINDINGS","Plan for the review of instruments used to evaluate students", "Review of instruments used to evaluate students")</f>
        <v>Review of instruments used to evaluate students</v>
      </c>
      <c r="J126" s="478"/>
      <c r="K126" s="479"/>
      <c r="L126" s="480"/>
      <c r="N126" s="287" t="s">
        <v>663</v>
      </c>
      <c r="Q126" s="19" t="s">
        <v>229</v>
      </c>
    </row>
    <row r="127" spans="2:105" ht="62.25" customHeight="1" x14ac:dyDescent="0.15">
      <c r="B127" s="211" t="s">
        <v>42</v>
      </c>
      <c r="C127" s="502" t="s">
        <v>504</v>
      </c>
      <c r="D127" s="503"/>
      <c r="E127" s="503"/>
      <c r="F127" s="504"/>
      <c r="G127" s="205"/>
      <c r="H127" s="174"/>
      <c r="I127" s="176" t="str">
        <f>IF($B$2="PRELIMINARY SITE VISIT REPORT FINDINGS","Plan or evidence of process for Medical Director review and approval", "Evidence of process for Medical Director review and approval")</f>
        <v>Evidence of process for Medical Director review and approval</v>
      </c>
      <c r="J127" s="478"/>
      <c r="K127" s="479"/>
      <c r="L127" s="480"/>
      <c r="N127" s="287" t="s">
        <v>664</v>
      </c>
      <c r="Q127" s="19" t="s">
        <v>230</v>
      </c>
    </row>
    <row r="128" spans="2:105" ht="55.5" customHeight="1" x14ac:dyDescent="0.15">
      <c r="B128" s="204" t="s">
        <v>43</v>
      </c>
      <c r="C128" s="425" t="s">
        <v>147</v>
      </c>
      <c r="D128" s="426"/>
      <c r="E128" s="426"/>
      <c r="F128" s="427"/>
      <c r="G128" s="203"/>
      <c r="H128" s="174"/>
      <c r="I128" s="179" t="str">
        <f>IF($B$2="PRELIMINARY SITE VISIT REPORT FINDINGS","Process to sign Terminal Competency forms", "Signed Terminal Competency forms")</f>
        <v>Signed Terminal Competency forms</v>
      </c>
      <c r="J128" s="459"/>
      <c r="K128" s="460"/>
      <c r="L128" s="461"/>
      <c r="N128" s="287" t="s">
        <v>665</v>
      </c>
      <c r="Q128" s="19" t="s">
        <v>231</v>
      </c>
    </row>
    <row r="129" spans="2:17" ht="106.5" customHeight="1" x14ac:dyDescent="0.15">
      <c r="B129" s="211" t="s">
        <v>44</v>
      </c>
      <c r="C129" s="502" t="s">
        <v>148</v>
      </c>
      <c r="D129" s="503"/>
      <c r="E129" s="503"/>
      <c r="F129" s="504"/>
      <c r="G129" s="205"/>
      <c r="H129" s="174"/>
      <c r="I129" s="176" t="s">
        <v>546</v>
      </c>
      <c r="J129" s="459"/>
      <c r="K129" s="460"/>
      <c r="L129" s="461"/>
      <c r="N129" s="287" t="s">
        <v>760</v>
      </c>
      <c r="Q129" s="19" t="s">
        <v>232</v>
      </c>
    </row>
    <row r="130" spans="2:17" ht="51" customHeight="1" x14ac:dyDescent="0.15">
      <c r="B130" s="204" t="s">
        <v>149</v>
      </c>
      <c r="C130" s="425" t="s">
        <v>531</v>
      </c>
      <c r="D130" s="426"/>
      <c r="E130" s="426"/>
      <c r="F130" s="427"/>
      <c r="G130" s="210"/>
      <c r="H130" s="174"/>
      <c r="I130" s="176" t="s">
        <v>515</v>
      </c>
      <c r="J130" s="459"/>
      <c r="K130" s="460"/>
      <c r="L130" s="461"/>
      <c r="N130" s="287" t="s">
        <v>709</v>
      </c>
      <c r="Q130" s="19" t="s">
        <v>233</v>
      </c>
    </row>
    <row r="131" spans="2:17" ht="20.25" customHeight="1" x14ac:dyDescent="0.15">
      <c r="B131" s="521" t="s">
        <v>138</v>
      </c>
      <c r="C131" s="495"/>
      <c r="D131" s="495"/>
      <c r="E131" s="495"/>
      <c r="F131" s="495"/>
      <c r="G131" s="495"/>
      <c r="H131" s="495"/>
      <c r="I131" s="495"/>
      <c r="J131" s="495"/>
      <c r="K131" s="495"/>
      <c r="L131" s="496"/>
    </row>
    <row r="132" spans="2:17" ht="72.75" customHeight="1" x14ac:dyDescent="0.15">
      <c r="B132" s="201" t="s">
        <v>131</v>
      </c>
      <c r="C132" s="502" t="s">
        <v>529</v>
      </c>
      <c r="D132" s="503"/>
      <c r="E132" s="503"/>
      <c r="F132" s="504"/>
      <c r="G132" s="205"/>
      <c r="H132" s="669" t="s">
        <v>364</v>
      </c>
      <c r="I132" s="670"/>
      <c r="J132" s="459"/>
      <c r="K132" s="460"/>
      <c r="L132" s="461"/>
      <c r="N132" s="288" t="s">
        <v>778</v>
      </c>
      <c r="Q132" s="19" t="s">
        <v>234</v>
      </c>
    </row>
    <row r="133" spans="2:17" ht="72" customHeight="1" x14ac:dyDescent="0.15">
      <c r="B133" s="201" t="s">
        <v>132</v>
      </c>
      <c r="C133" s="502" t="s">
        <v>528</v>
      </c>
      <c r="D133" s="503"/>
      <c r="E133" s="503"/>
      <c r="F133" s="504"/>
      <c r="G133" s="205"/>
      <c r="H133" s="174"/>
      <c r="I133" s="176" t="s">
        <v>384</v>
      </c>
      <c r="J133" s="459"/>
      <c r="K133" s="460"/>
      <c r="L133" s="461"/>
      <c r="N133" s="287" t="s">
        <v>779</v>
      </c>
      <c r="Q133" s="19" t="s">
        <v>235</v>
      </c>
    </row>
    <row r="134" spans="2:17" ht="47.25" customHeight="1" x14ac:dyDescent="0.15">
      <c r="B134" s="201" t="s">
        <v>133</v>
      </c>
      <c r="C134" s="502" t="s">
        <v>527</v>
      </c>
      <c r="D134" s="503"/>
      <c r="E134" s="503"/>
      <c r="F134" s="504"/>
      <c r="G134" s="205"/>
      <c r="H134" s="174"/>
      <c r="I134" s="176" t="s">
        <v>386</v>
      </c>
      <c r="J134" s="459"/>
      <c r="K134" s="460"/>
      <c r="L134" s="461"/>
      <c r="N134" s="287" t="s">
        <v>779</v>
      </c>
      <c r="Q134" s="19" t="s">
        <v>236</v>
      </c>
    </row>
    <row r="135" spans="2:17" ht="63.5" customHeight="1" x14ac:dyDescent="0.15">
      <c r="B135" s="201" t="s">
        <v>134</v>
      </c>
      <c r="C135" s="502" t="s">
        <v>509</v>
      </c>
      <c r="D135" s="503"/>
      <c r="E135" s="503"/>
      <c r="F135" s="504"/>
      <c r="G135" s="205"/>
      <c r="H135" s="174"/>
      <c r="I135" s="175" t="s">
        <v>387</v>
      </c>
      <c r="J135" s="459"/>
      <c r="K135" s="460"/>
      <c r="L135" s="461"/>
      <c r="N135" s="288" t="s">
        <v>779</v>
      </c>
      <c r="Q135" s="19" t="s">
        <v>237</v>
      </c>
    </row>
    <row r="136" spans="2:17" ht="63.5" customHeight="1" x14ac:dyDescent="0.15">
      <c r="B136" s="201" t="s">
        <v>510</v>
      </c>
      <c r="C136" s="502" t="s">
        <v>526</v>
      </c>
      <c r="D136" s="503"/>
      <c r="E136" s="503"/>
      <c r="F136" s="504"/>
      <c r="G136" s="205"/>
      <c r="H136" s="174"/>
      <c r="I136" s="175" t="s">
        <v>387</v>
      </c>
      <c r="J136" s="459"/>
      <c r="K136" s="460"/>
      <c r="L136" s="461"/>
      <c r="N136" s="288" t="s">
        <v>779</v>
      </c>
      <c r="Q136" s="19" t="s">
        <v>530</v>
      </c>
    </row>
    <row r="137" spans="2:17" ht="20.25" customHeight="1" x14ac:dyDescent="0.15">
      <c r="B137" s="521" t="s">
        <v>141</v>
      </c>
      <c r="C137" s="495"/>
      <c r="D137" s="495"/>
      <c r="E137" s="495"/>
      <c r="F137" s="495"/>
      <c r="G137" s="495"/>
      <c r="H137" s="495"/>
      <c r="I137" s="495"/>
      <c r="J137" s="515"/>
      <c r="K137" s="515"/>
      <c r="L137" s="733"/>
    </row>
    <row r="138" spans="2:17" ht="39.5" customHeight="1" x14ac:dyDescent="0.15">
      <c r="B138" s="708" t="s">
        <v>771</v>
      </c>
      <c r="C138" s="709"/>
      <c r="D138" s="709"/>
      <c r="E138" s="709"/>
      <c r="F138" s="709"/>
      <c r="G138" s="212" t="s">
        <v>100</v>
      </c>
      <c r="H138" s="673" t="str">
        <f>IF(G138="N/A", "", "          Number of Associate MDs: ==&gt;")</f>
        <v/>
      </c>
      <c r="I138" s="674"/>
      <c r="J138" s="304"/>
      <c r="K138" s="761" t="str">
        <f>IF(AND($G$138="Yes",$J$138=""),"&lt;== Please select the number of 
       Associate Medical Directors","")</f>
        <v/>
      </c>
      <c r="L138" s="762"/>
    </row>
    <row r="139" spans="2:17" ht="53" customHeight="1" x14ac:dyDescent="0.15">
      <c r="B139" s="746" t="str">
        <f>IF(G138="N/A", "", "a. Responsibilities
When the program Medical Director delegates specified responsibilities, the program must designate one or more Associate Medical Directors:")</f>
        <v/>
      </c>
      <c r="C139" s="747"/>
      <c r="D139" s="747"/>
      <c r="E139" s="747"/>
      <c r="F139" s="747"/>
      <c r="G139" s="747"/>
      <c r="H139" s="747"/>
      <c r="I139" s="747"/>
      <c r="J139" s="749"/>
      <c r="K139" s="749"/>
      <c r="L139" s="750"/>
    </row>
    <row r="140" spans="2:17" ht="33" customHeight="1" x14ac:dyDescent="0.15">
      <c r="B140" s="484" t="str">
        <f>IF(G138="N/A", "", "III.B.3.a.1)")</f>
        <v/>
      </c>
      <c r="C140" s="425" t="str">
        <f>IF(G138="N/A", "", "Fulfills responsibilities as delegated by the program Medical Director")</f>
        <v/>
      </c>
      <c r="D140" s="426"/>
      <c r="E140" s="426"/>
      <c r="F140" s="427"/>
      <c r="G140" s="492"/>
      <c r="H140" s="174"/>
      <c r="I140" s="178" t="str">
        <f>IF(G138="N/A", "", "Verified by emails")</f>
        <v/>
      </c>
      <c r="J140" s="459"/>
      <c r="K140" s="460"/>
      <c r="L140" s="461"/>
      <c r="N140" s="481" t="s">
        <v>779</v>
      </c>
      <c r="Q140" s="19" t="s">
        <v>238</v>
      </c>
    </row>
    <row r="141" spans="2:17" ht="33" customHeight="1" x14ac:dyDescent="0.15">
      <c r="B141" s="505"/>
      <c r="C141" s="431"/>
      <c r="D141" s="432"/>
      <c r="E141" s="432"/>
      <c r="F141" s="433"/>
      <c r="G141" s="493"/>
      <c r="H141" s="174"/>
      <c r="I141" s="181" t="str">
        <f>IF(G138="N/A", "", "Verified by conversation")</f>
        <v/>
      </c>
      <c r="J141" s="464"/>
      <c r="K141" s="465"/>
      <c r="L141" s="466"/>
      <c r="N141" s="481"/>
    </row>
    <row r="142" spans="2:17" ht="20.25" customHeight="1" x14ac:dyDescent="0.15">
      <c r="B142" s="521" t="str">
        <f>IF(G138="N/A", "", "b. Qualifications (Assoc MD)")</f>
        <v/>
      </c>
      <c r="C142" s="495"/>
      <c r="D142" s="495"/>
      <c r="E142" s="495"/>
      <c r="F142" s="495"/>
      <c r="G142" s="495"/>
      <c r="H142" s="495"/>
      <c r="I142" s="495"/>
      <c r="J142" s="515"/>
      <c r="K142" s="515"/>
      <c r="L142" s="733"/>
    </row>
    <row r="143" spans="2:17" ht="76.5" customHeight="1" x14ac:dyDescent="0.15">
      <c r="B143" s="201" t="str">
        <f>IF(G138="N/A", "", "III.B.3.b.1)")</f>
        <v/>
      </c>
      <c r="C143" s="502" t="str">
        <f>IF(G138="N/A", "", "Currently licensed and authorized to practice in the state in which assigned program activities occur with experience and current knowledge of emergency care of acutely ill and injured patients")</f>
        <v/>
      </c>
      <c r="D143" s="503"/>
      <c r="E143" s="503"/>
      <c r="F143" s="504"/>
      <c r="G143" s="209"/>
      <c r="H143" s="174"/>
      <c r="I143" s="179" t="str">
        <f>IF(G138="N/A", "", "Maintained by program")</f>
        <v/>
      </c>
      <c r="J143" s="447"/>
      <c r="K143" s="447"/>
      <c r="L143" s="447"/>
      <c r="N143" s="287" t="s">
        <v>773</v>
      </c>
      <c r="Q143" s="19" t="s">
        <v>239</v>
      </c>
    </row>
    <row r="144" spans="2:17" ht="81.75" customHeight="1" x14ac:dyDescent="0.15">
      <c r="B144" s="201" t="str">
        <f>IF(G138="N/A", "", "III.B.3.b.2)")</f>
        <v/>
      </c>
      <c r="C144" s="502" t="str">
        <f>IF(G138="N/A", "", "Adequate training or experience in the delivery of out-of-hospital emergency care, including the proper care and transport of patients, medical direction, and quality improvement in out-of-hospital care")</f>
        <v/>
      </c>
      <c r="D144" s="503"/>
      <c r="E144" s="503"/>
      <c r="F144" s="504"/>
      <c r="G144" s="205"/>
      <c r="H144" s="174"/>
      <c r="I144" s="179" t="str">
        <f>IF(G138="N/A", "", "Letter of acceptance/appointment")</f>
        <v/>
      </c>
      <c r="J144" s="447"/>
      <c r="K144" s="447"/>
      <c r="L144" s="447"/>
      <c r="N144" s="287" t="s">
        <v>772</v>
      </c>
      <c r="Q144" s="19" t="s">
        <v>240</v>
      </c>
    </row>
    <row r="145" spans="2:17" ht="54.5" customHeight="1" x14ac:dyDescent="0.15">
      <c r="B145" s="454" t="str">
        <f>IF(G138="N/A", "", "III.B.3.b.3)")</f>
        <v/>
      </c>
      <c r="C145" s="425" t="str">
        <f>IF(G138="N/A", "", "Knowledgeable about the education of the Emergency Medical Services Professions, including professional, legislative and regulatory issues regarding the education of the Emergency Medical Services Professions")</f>
        <v/>
      </c>
      <c r="D145" s="426"/>
      <c r="E145" s="426"/>
      <c r="F145" s="427"/>
      <c r="G145" s="492"/>
      <c r="H145" s="174"/>
      <c r="I145" s="176" t="str">
        <f>IF(G138="N/A", "", "Verified by conversation")</f>
        <v/>
      </c>
      <c r="J145" s="462"/>
      <c r="K145" s="447"/>
      <c r="L145" s="463"/>
      <c r="N145" s="481" t="s">
        <v>780</v>
      </c>
      <c r="Q145" s="19" t="s">
        <v>241</v>
      </c>
    </row>
    <row r="146" spans="2:17" ht="54" customHeight="1" x14ac:dyDescent="0.15">
      <c r="B146" s="456"/>
      <c r="C146" s="431"/>
      <c r="D146" s="432"/>
      <c r="E146" s="432"/>
      <c r="F146" s="433"/>
      <c r="G146" s="493"/>
      <c r="H146" s="174"/>
      <c r="I146" s="176" t="str">
        <f>IF(G138="N/A", "", "Verified by conversation")</f>
        <v/>
      </c>
      <c r="J146" s="464"/>
      <c r="K146" s="465"/>
      <c r="L146" s="466"/>
      <c r="M146" s="41"/>
      <c r="N146" s="481"/>
    </row>
    <row r="147" spans="2:17" ht="20.25" customHeight="1" x14ac:dyDescent="0.15">
      <c r="B147" s="521" t="s">
        <v>150</v>
      </c>
      <c r="C147" s="495"/>
      <c r="D147" s="495"/>
      <c r="E147" s="495"/>
      <c r="F147" s="495"/>
      <c r="G147" s="495"/>
      <c r="H147" s="495"/>
      <c r="I147" s="495"/>
      <c r="J147" s="495"/>
      <c r="K147" s="495"/>
      <c r="L147" s="496"/>
    </row>
    <row r="148" spans="2:17" ht="40" customHeight="1" x14ac:dyDescent="0.15">
      <c r="B148" s="772" t="s">
        <v>791</v>
      </c>
      <c r="C148" s="452"/>
      <c r="D148" s="452"/>
      <c r="E148" s="452"/>
      <c r="F148" s="773"/>
      <c r="G148" s="212" t="s">
        <v>99</v>
      </c>
      <c r="H148" s="520"/>
      <c r="I148" s="520"/>
      <c r="K148" s="763"/>
      <c r="L148" s="763"/>
    </row>
    <row r="149" spans="2:17" ht="42.5" customHeight="1" x14ac:dyDescent="0.15">
      <c r="B149" s="452" t="str">
        <f>IF(G148="Yes","         Is the Medical Director or Associate MD licensed 
         in that State(s)?","")</f>
        <v/>
      </c>
      <c r="C149" s="452"/>
      <c r="D149" s="452"/>
      <c r="E149" s="452"/>
      <c r="F149" s="452"/>
      <c r="G149" s="301"/>
      <c r="H149" s="451"/>
      <c r="I149" s="451"/>
      <c r="J149" s="19"/>
      <c r="K149" s="19"/>
      <c r="L149" s="19"/>
      <c r="N149" s="287" t="s">
        <v>788</v>
      </c>
      <c r="Q149" s="19" t="s">
        <v>786</v>
      </c>
    </row>
    <row r="150" spans="2:17" ht="28" customHeight="1" x14ac:dyDescent="0.15">
      <c r="B150" s="768" t="str">
        <f>IF(G149="No","         Has an Assistant MD(s) been appointed?","")</f>
        <v/>
      </c>
      <c r="C150" s="768"/>
      <c r="D150" s="768"/>
      <c r="E150" s="768"/>
      <c r="F150" s="768"/>
      <c r="G150" s="769"/>
      <c r="H150" s="766" t="str">
        <f>IF(G150="Yes","          Number of Assistant MDs: ==&gt;","")</f>
        <v/>
      </c>
      <c r="I150" s="766"/>
      <c r="J150" s="302"/>
      <c r="K150" s="770" t="str">
        <f>IF(AND($G$150="Yes",$J$150=""),"&lt;== Please select the number of
         Assistant Medical Directors","")</f>
        <v/>
      </c>
      <c r="L150" s="770"/>
      <c r="N150" s="287"/>
      <c r="Q150" s="19" t="s">
        <v>786</v>
      </c>
    </row>
    <row r="151" spans="2:17" ht="36" customHeight="1" x14ac:dyDescent="0.15">
      <c r="B151" s="768"/>
      <c r="C151" s="768"/>
      <c r="D151" s="768"/>
      <c r="E151" s="768"/>
      <c r="F151" s="768"/>
      <c r="G151" s="769"/>
      <c r="H151" s="766"/>
      <c r="I151" s="766"/>
      <c r="J151" s="767"/>
      <c r="K151" s="767"/>
      <c r="L151" s="767"/>
      <c r="N151" s="287" t="s">
        <v>797</v>
      </c>
      <c r="Q151" s="19" t="s">
        <v>786</v>
      </c>
    </row>
    <row r="152" spans="2:17" ht="54" customHeight="1" x14ac:dyDescent="0.15">
      <c r="B152" s="522" t="str">
        <f>IF(OR(G148="No",G149="Yes"),"","a. Responsibilities
When the program Medical Director or Associate Medical Director cannot legally provide supervision for out of state location(s) of the educational activities of the program, the sponsor must appoint an Assistant Medical Director:")</f>
        <v/>
      </c>
      <c r="C152" s="523"/>
      <c r="D152" s="523"/>
      <c r="E152" s="523"/>
      <c r="F152" s="523"/>
      <c r="G152" s="523"/>
      <c r="H152" s="523"/>
      <c r="I152" s="523"/>
      <c r="J152" s="523"/>
      <c r="K152" s="523"/>
      <c r="L152" s="523"/>
    </row>
    <row r="153" spans="2:17" ht="67.5" customHeight="1" x14ac:dyDescent="0.15">
      <c r="B153" s="513" t="str">
        <f>IF(OR(G148="No",G149="Yes"),"", "III.B.4.a.1)")</f>
        <v/>
      </c>
      <c r="C153" s="429" t="str">
        <f>IF(OR(G148="No",G149="Yes"),"", "Provides medical supervision and oversight of students participating in clinical rotations, field experience and/or capstone field internship")</f>
        <v/>
      </c>
      <c r="D153" s="429"/>
      <c r="E153" s="429"/>
      <c r="F153" s="429"/>
      <c r="G153" s="438"/>
      <c r="H153" s="258"/>
      <c r="I153" s="259" t="str">
        <f>IF(OR(G148="No",G149="Yes"),"", "Verified by emails")</f>
        <v/>
      </c>
      <c r="J153" s="447"/>
      <c r="K153" s="447"/>
      <c r="L153" s="447"/>
      <c r="N153" s="481" t="s">
        <v>780</v>
      </c>
      <c r="Q153" s="19" t="s">
        <v>242</v>
      </c>
    </row>
    <row r="154" spans="2:17" ht="62.5" customHeight="1" x14ac:dyDescent="0.15">
      <c r="B154" s="513"/>
      <c r="C154" s="429"/>
      <c r="D154" s="429"/>
      <c r="E154" s="429"/>
      <c r="F154" s="429"/>
      <c r="G154" s="438"/>
      <c r="H154" s="258"/>
      <c r="I154" s="259" t="str">
        <f>IF(OR(G148="No",G149="Yes"),"", "Verified by conversation")</f>
        <v/>
      </c>
      <c r="J154" s="447"/>
      <c r="K154" s="447"/>
      <c r="L154" s="447"/>
      <c r="N154" s="481"/>
    </row>
    <row r="155" spans="2:17" ht="20.25" customHeight="1" x14ac:dyDescent="0.15">
      <c r="B155" s="453" t="str">
        <f>IF(OR(G148="No",G149="Yes"),"", "b. Qualifications (Assist MD)")</f>
        <v/>
      </c>
      <c r="C155" s="453"/>
      <c r="D155" s="453"/>
      <c r="E155" s="453"/>
      <c r="F155" s="453"/>
      <c r="G155" s="453"/>
      <c r="H155" s="453"/>
      <c r="I155" s="453"/>
      <c r="J155" s="453"/>
      <c r="K155" s="453"/>
      <c r="L155" s="453"/>
    </row>
    <row r="156" spans="2:17" ht="66" customHeight="1" x14ac:dyDescent="0.15">
      <c r="B156" s="263" t="str">
        <f>IF(OR(G148="No",G149="Yes"),"", "III.B.4.b.1)")</f>
        <v/>
      </c>
      <c r="C156" s="429" t="str">
        <f>IF(OR(G148="No",G149="Yes"),"", "Physician currently licensed to practice in the state or other like jurisdiction and authorized to practice in the jurisdiction where the student(s) are practicing")</f>
        <v/>
      </c>
      <c r="D156" s="429"/>
      <c r="E156" s="429"/>
      <c r="F156" s="429"/>
      <c r="G156" s="257"/>
      <c r="H156" s="258"/>
      <c r="I156" s="259" t="str">
        <f>IF(OR(G148="No",G149="Yes"),"", "Maintained by program")</f>
        <v/>
      </c>
      <c r="J156" s="447"/>
      <c r="K156" s="447"/>
      <c r="L156" s="447"/>
      <c r="N156" s="287" t="s">
        <v>773</v>
      </c>
      <c r="Q156" s="19" t="s">
        <v>243</v>
      </c>
    </row>
    <row r="157" spans="2:17" ht="45" customHeight="1" x14ac:dyDescent="0.15">
      <c r="B157" s="513" t="str">
        <f>IF(OR(G148="No",G149="Yes"),"", "III.B.4.b.2)")</f>
        <v/>
      </c>
      <c r="C157" s="429" t="str">
        <f>IF(OR(G148="No",G149="Yes"),"", "Adequate training or experience in the delivery of out-of-hospital emergency care, including the proper care and transport of patients, medical direction, and quality improvement in out-of-hospital care")</f>
        <v/>
      </c>
      <c r="D157" s="429"/>
      <c r="E157" s="429"/>
      <c r="F157" s="429"/>
      <c r="G157" s="438"/>
      <c r="H157" s="258"/>
      <c r="I157" s="259" t="str">
        <f>IF(OR(G148="No",G149="Yes"),"", "Verified by conversation")</f>
        <v/>
      </c>
      <c r="J157" s="447"/>
      <c r="K157" s="447"/>
      <c r="L157" s="447"/>
      <c r="N157" s="481" t="s">
        <v>789</v>
      </c>
      <c r="Q157" s="19" t="s">
        <v>244</v>
      </c>
    </row>
    <row r="158" spans="2:17" ht="38.5" customHeight="1" x14ac:dyDescent="0.15">
      <c r="B158" s="513"/>
      <c r="C158" s="429"/>
      <c r="D158" s="429"/>
      <c r="E158" s="429"/>
      <c r="F158" s="429"/>
      <c r="G158" s="438"/>
      <c r="H158" s="258"/>
      <c r="I158" s="259" t="str">
        <f>IF(OR(G148="No",G149="Yes"),"", "Letter of appointment/acceptance")</f>
        <v/>
      </c>
      <c r="J158" s="447"/>
      <c r="K158" s="447"/>
      <c r="L158" s="447"/>
      <c r="N158" s="481"/>
    </row>
    <row r="159" spans="2:17" ht="57.5" customHeight="1" x14ac:dyDescent="0.15">
      <c r="B159" s="513" t="str">
        <f>IF(OR(G148="No",G149="Yes"),"", "III.B.4.b.3)")</f>
        <v/>
      </c>
      <c r="C159" s="429" t="str">
        <f>IF(OR(G148="No",G149="Yes"),"", "Knowledgeable about the education of the emergency medical services professions, including professional, legislative and regulatory issues regarding the education of the emergency medical services professions including professional, "&amp;"legislative and regulatory issues regarding the education of the emergency medical services professions")</f>
        <v/>
      </c>
      <c r="D159" s="429"/>
      <c r="E159" s="429"/>
      <c r="F159" s="429"/>
      <c r="G159" s="438"/>
      <c r="H159" s="258"/>
      <c r="I159" s="259" t="str">
        <f>IF(OR(G148="No",G149="Yes"),"", "Verified by conversation")</f>
        <v/>
      </c>
      <c r="J159" s="447"/>
      <c r="K159" s="447"/>
      <c r="L159" s="447"/>
      <c r="N159" s="481" t="s">
        <v>790</v>
      </c>
      <c r="Q159" s="19" t="s">
        <v>245</v>
      </c>
    </row>
    <row r="160" spans="2:17" ht="59.5" customHeight="1" x14ac:dyDescent="0.15">
      <c r="B160" s="513"/>
      <c r="C160" s="429"/>
      <c r="D160" s="429"/>
      <c r="E160" s="429"/>
      <c r="F160" s="429"/>
      <c r="G160" s="438"/>
      <c r="H160" s="258"/>
      <c r="I160" s="259" t="str">
        <f>IF(OR(G148="No",G149="Yes"),"", "Letter of appointment/acceptance")</f>
        <v/>
      </c>
      <c r="J160" s="447"/>
      <c r="K160" s="447"/>
      <c r="L160" s="447"/>
      <c r="N160" s="481"/>
    </row>
    <row r="161" spans="2:105" ht="20.25" customHeight="1" x14ac:dyDescent="0.15">
      <c r="B161" s="494" t="s">
        <v>151</v>
      </c>
      <c r="C161" s="495"/>
      <c r="D161" s="495"/>
      <c r="E161" s="495"/>
      <c r="F161" s="495"/>
      <c r="G161" s="495"/>
      <c r="H161" s="495"/>
      <c r="I161" s="495"/>
      <c r="J161" s="495"/>
      <c r="K161" s="495"/>
      <c r="L161" s="496"/>
    </row>
    <row r="162" spans="2:105" ht="20.25" customHeight="1" x14ac:dyDescent="0.15">
      <c r="B162" s="448" t="s">
        <v>45</v>
      </c>
      <c r="C162" s="449"/>
      <c r="D162" s="449"/>
      <c r="E162" s="449"/>
      <c r="F162" s="449"/>
      <c r="G162" s="449"/>
      <c r="H162" s="449"/>
      <c r="I162" s="449"/>
      <c r="J162" s="449"/>
      <c r="K162" s="449"/>
      <c r="L162" s="450"/>
    </row>
    <row r="163" spans="2:105" ht="55.5" customHeight="1" x14ac:dyDescent="0.15">
      <c r="B163" s="484" t="s">
        <v>135</v>
      </c>
      <c r="C163" s="458" t="s">
        <v>541</v>
      </c>
      <c r="D163" s="458"/>
      <c r="E163" s="458"/>
      <c r="F163" s="458"/>
      <c r="G163" s="492"/>
      <c r="H163" s="174"/>
      <c r="I163" s="177" t="s">
        <v>419</v>
      </c>
      <c r="J163" s="507"/>
      <c r="K163" s="508"/>
      <c r="L163" s="509"/>
      <c r="N163" s="481" t="s">
        <v>780</v>
      </c>
      <c r="Q163" s="19" t="s">
        <v>187</v>
      </c>
    </row>
    <row r="164" spans="2:105" s="7" customFormat="1" ht="69.75" customHeight="1" x14ac:dyDescent="0.15">
      <c r="B164" s="505"/>
      <c r="C164" s="458"/>
      <c r="D164" s="458"/>
      <c r="E164" s="458"/>
      <c r="F164" s="458"/>
      <c r="G164" s="519"/>
      <c r="H164" s="174"/>
      <c r="I164" s="176" t="str">
        <f>IF($B$2="PRELIMINARY SITE VISIT REPORT FINDINGS","Plan for program personnel that faculty are assigned to monitor students during clinical rotations &amp; field internship", "Verified by conversation with program personnel, students, and graduates that faculty is assigned to monitor students during clinical rotations &amp; field internship")</f>
        <v>Verified by conversation with program personnel, students, and graduates that faculty is assigned to monitor students during clinical rotations &amp; field internship</v>
      </c>
      <c r="J164" s="510"/>
      <c r="K164" s="511"/>
      <c r="L164" s="512"/>
      <c r="M164" s="52"/>
      <c r="N164" s="481"/>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c r="CH164" s="52"/>
      <c r="CI164" s="52"/>
      <c r="CJ164" s="52"/>
      <c r="CK164" s="52"/>
      <c r="CL164" s="52"/>
      <c r="CM164" s="52"/>
      <c r="CN164" s="52"/>
      <c r="CO164" s="52"/>
      <c r="CP164" s="52"/>
      <c r="CQ164" s="52"/>
      <c r="CR164" s="52"/>
      <c r="CS164" s="52"/>
      <c r="CT164" s="52"/>
      <c r="CU164" s="52"/>
      <c r="CV164" s="52"/>
      <c r="CW164" s="52"/>
      <c r="CX164" s="52"/>
      <c r="CY164" s="52"/>
      <c r="CZ164" s="52"/>
      <c r="DA164" s="52"/>
    </row>
    <row r="165" spans="2:105" ht="38.25" customHeight="1" x14ac:dyDescent="0.15">
      <c r="B165" s="505"/>
      <c r="C165" s="458"/>
      <c r="D165" s="458"/>
      <c r="E165" s="458"/>
      <c r="F165" s="458"/>
      <c r="G165" s="519"/>
      <c r="H165" s="174"/>
      <c r="I165" s="175" t="str">
        <f>IF($B$2="PRELIMINARY SITE VISIT REPORT FINDINGS","Plan for sufficient number of faculty for the number of enrolled students", "")</f>
        <v/>
      </c>
      <c r="J165" s="510"/>
      <c r="K165" s="511"/>
      <c r="L165" s="512"/>
      <c r="N165" s="481"/>
    </row>
    <row r="166" spans="2:105" ht="30.75" customHeight="1" x14ac:dyDescent="0.15">
      <c r="B166" s="505"/>
      <c r="C166" s="458"/>
      <c r="D166" s="458"/>
      <c r="E166" s="458"/>
      <c r="F166" s="458"/>
      <c r="G166" s="206" t="str">
        <f>IF(AND(H166="      Same State Satellite Location(s)",J166&lt;&gt;""), "Not Met",IF(AND(H166="      Same State Satellite Location(s)",J166=""),"Met","N/A"))</f>
        <v>N/A</v>
      </c>
      <c r="H166" s="517" t="str">
        <f>IF('Satellite(s)'!$H$6&lt;&gt;"N/A","      Same state satellite location(s)","      No same state satellite location(s)")</f>
        <v xml:space="preserve">      No same state satellite location(s)</v>
      </c>
      <c r="I166" s="518"/>
      <c r="J166" s="420" t="str" cm="1">
        <f t="array" ref="J166">_xlfn.TEXTJOIN("
",TRUE,IF('Satellite(s)'!F38:AB38="Not Met",'Satellite(s)'!F39:AB39,""))</f>
        <v/>
      </c>
      <c r="K166" s="421"/>
      <c r="L166" s="422"/>
      <c r="Q166" s="69" t="s">
        <v>589</v>
      </c>
    </row>
    <row r="167" spans="2:105" ht="37.5" customHeight="1" x14ac:dyDescent="0.15">
      <c r="B167" s="505"/>
      <c r="C167" s="458"/>
      <c r="D167" s="458"/>
      <c r="E167" s="458"/>
      <c r="F167" s="458"/>
      <c r="G167" s="206" t="str">
        <f>IF(AND(H167="      Out-of-state satellite location(s)",J167&lt;&gt;""), "Not Met",IF(AND(H167="      Out-of-state satellite location(s)",J167=""),"Met","N/A"))</f>
        <v>N/A</v>
      </c>
      <c r="H167" s="517" t="str">
        <f>IF('Satellite(s)'!$H$7&lt;&gt;"N/A","      Out-of-state satellite location(s)","      No out-of-state satellite location(s)")</f>
        <v xml:space="preserve">      No out-of-state satellite location(s)</v>
      </c>
      <c r="I167" s="518"/>
      <c r="J167" s="420" t="str" cm="1">
        <f t="array" ref="J167">_xlfn.TEXTJOIN("
",TRUE,IF('Satellite(s)'!F82:L82="Not Met",'Satellite(s)'!F83:L83,""))</f>
        <v/>
      </c>
      <c r="K167" s="421"/>
      <c r="L167" s="422"/>
      <c r="Q167" s="69" t="s">
        <v>590</v>
      </c>
    </row>
    <row r="168" spans="2:105" ht="37.5" customHeight="1" x14ac:dyDescent="0.15">
      <c r="B168" s="485"/>
      <c r="C168" s="458"/>
      <c r="D168" s="458"/>
      <c r="E168" s="458"/>
      <c r="F168" s="458"/>
      <c r="G168" s="206" t="str">
        <f>IF(AND(H168="      Not Approved Satellite Location(s)",J168&lt;&gt;""), "Not Met",IF(AND(H168="      Not Approved Satellite Location(s)",J168=""),"Met","N/A"))</f>
        <v>N/A</v>
      </c>
      <c r="H168" s="517" t="str">
        <f>IF('Satellite(s)'!$H$8&lt;&gt;"","      Not approved satellite location(s)","      No unapproved satellite location(s)")</f>
        <v xml:space="preserve">      No unapproved satellite location(s)</v>
      </c>
      <c r="I168" s="518"/>
      <c r="J168" s="420" t="str" cm="1">
        <f t="array" ref="J168">_xlfn.TEXTJOIN("
",TRUE,IF('Satellite(s)'!F126:L126="Not Met",'Satellite(s)'!F127:L127,""))</f>
        <v/>
      </c>
      <c r="K168" s="421"/>
      <c r="L168" s="422"/>
      <c r="Q168" s="69" t="s">
        <v>591</v>
      </c>
    </row>
    <row r="169" spans="2:105" ht="20.25" customHeight="1" x14ac:dyDescent="0.15">
      <c r="B169" s="494" t="s">
        <v>33</v>
      </c>
      <c r="C169" s="495"/>
      <c r="D169" s="495"/>
      <c r="E169" s="495"/>
      <c r="F169" s="495"/>
      <c r="G169" s="495"/>
      <c r="H169" s="495"/>
      <c r="I169" s="495"/>
      <c r="J169" s="495"/>
      <c r="K169" s="495"/>
      <c r="L169" s="496"/>
    </row>
    <row r="170" spans="2:105" ht="76" customHeight="1" x14ac:dyDescent="0.15">
      <c r="B170" s="204" t="s">
        <v>136</v>
      </c>
      <c r="C170" s="425" t="s">
        <v>525</v>
      </c>
      <c r="D170" s="426"/>
      <c r="E170" s="426"/>
      <c r="F170" s="427"/>
      <c r="G170" s="203"/>
      <c r="H170" s="174"/>
      <c r="I170" s="305" t="s">
        <v>420</v>
      </c>
      <c r="J170" s="459"/>
      <c r="K170" s="460"/>
      <c r="L170" s="461"/>
      <c r="N170" s="287" t="s">
        <v>710</v>
      </c>
      <c r="Q170" s="19" t="s">
        <v>201</v>
      </c>
    </row>
    <row r="171" spans="2:105" ht="20.25" customHeight="1" x14ac:dyDescent="0.15">
      <c r="B171" s="494" t="s">
        <v>770</v>
      </c>
      <c r="C171" s="495"/>
      <c r="D171" s="495"/>
      <c r="E171" s="495"/>
      <c r="F171" s="495"/>
      <c r="G171" s="495"/>
      <c r="H171" s="495"/>
      <c r="I171" s="495"/>
      <c r="J171" s="495"/>
      <c r="K171" s="495"/>
      <c r="L171" s="496"/>
    </row>
    <row r="172" spans="2:105" ht="42" customHeight="1" x14ac:dyDescent="0.15">
      <c r="B172" s="525" t="s">
        <v>769</v>
      </c>
      <c r="C172" s="526"/>
      <c r="D172" s="526"/>
      <c r="E172" s="526"/>
      <c r="F172" s="527"/>
      <c r="G172" s="531" t="s">
        <v>100</v>
      </c>
      <c r="H172" s="297"/>
      <c r="I172" s="298" t="str">
        <f>IF(OR(G172="Yes",G172="No"),"Number of Satellite 
     Lead Instructors: ==&gt;","")</f>
        <v/>
      </c>
      <c r="J172" s="302"/>
      <c r="K172" s="524" t="str">
        <f>IF(AND(G172="Yes",J172=""),"&lt;== Please select the number of 
        Satellite Lead Instructors",IF(AND(G172="No",J172=""),"&lt;== Please select the number of 
        Satellite Lead Instructors 
        not approved",""))</f>
        <v/>
      </c>
      <c r="L172" s="524"/>
      <c r="N172" s="296"/>
    </row>
    <row r="173" spans="2:105" ht="39.75" customHeight="1" x14ac:dyDescent="0.15">
      <c r="B173" s="528"/>
      <c r="C173" s="529"/>
      <c r="D173" s="529"/>
      <c r="E173" s="529"/>
      <c r="F173" s="530"/>
      <c r="G173" s="532"/>
      <c r="H173" s="451"/>
      <c r="I173" s="451"/>
      <c r="J173" s="533"/>
      <c r="K173" s="533"/>
      <c r="L173" s="533"/>
      <c r="N173" s="287" t="s">
        <v>783</v>
      </c>
      <c r="Q173" s="19" t="s">
        <v>785</v>
      </c>
    </row>
    <row r="174" spans="2:105" ht="40.5" customHeight="1" x14ac:dyDescent="0.15">
      <c r="B174" s="514" t="str">
        <f>IF(OR(G172="Yes",G172="No"),"a. Responsibilities
    When the Program Director delegates specified responsibilities to a satellite lead instructor, that individual must:","")</f>
        <v/>
      </c>
      <c r="C174" s="515"/>
      <c r="D174" s="515"/>
      <c r="E174" s="515"/>
      <c r="F174" s="515"/>
      <c r="G174" s="515"/>
      <c r="H174" s="453"/>
      <c r="I174" s="453"/>
      <c r="J174" s="453"/>
      <c r="K174" s="453"/>
      <c r="L174" s="516"/>
    </row>
    <row r="175" spans="2:105" ht="19.5" customHeight="1" x14ac:dyDescent="0.15">
      <c r="B175" s="600" t="str">
        <f>IF(OR(G172="Yes",G172="No"),"III.B.6.a.","")</f>
        <v/>
      </c>
      <c r="C175" s="429" t="str">
        <f>IF(OR(G172="Yes",G172="No"),"Performs duties assigned under the direction and delegation of the Program Director","")</f>
        <v/>
      </c>
      <c r="D175" s="429"/>
      <c r="E175" s="429"/>
      <c r="F175" s="429"/>
      <c r="G175" s="438"/>
      <c r="H175" s="506"/>
      <c r="I175" s="446" t="str">
        <f>IF(OR(G172="Yes",G172="No"),"Verified by by conversation with the Program Director and Satellite Lead Instructor","")</f>
        <v/>
      </c>
      <c r="J175" s="447"/>
      <c r="K175" s="447"/>
      <c r="L175" s="447"/>
      <c r="N175" s="292" t="str">
        <f>IF(G172="N/A", "", "NOTE:  Only required if the individual is a lead instructor for a satellite.")</f>
        <v/>
      </c>
      <c r="Q175" s="19" t="s">
        <v>188</v>
      </c>
    </row>
    <row r="176" spans="2:105" ht="69" customHeight="1" x14ac:dyDescent="0.15">
      <c r="B176" s="600"/>
      <c r="C176" s="429"/>
      <c r="D176" s="429"/>
      <c r="E176" s="429"/>
      <c r="F176" s="429"/>
      <c r="G176" s="438"/>
      <c r="H176" s="506"/>
      <c r="I176" s="446"/>
      <c r="J176" s="447"/>
      <c r="K176" s="447"/>
      <c r="L176" s="447"/>
      <c r="N176" s="291" t="s">
        <v>711</v>
      </c>
    </row>
    <row r="177" spans="2:17" ht="20.25" customHeight="1" x14ac:dyDescent="0.15">
      <c r="B177" s="453" t="str">
        <f>IF(OR(G172="Yes",G172="No"),"b. Qualifications","")</f>
        <v/>
      </c>
      <c r="C177" s="453"/>
      <c r="D177" s="453"/>
      <c r="E177" s="453"/>
      <c r="F177" s="453"/>
      <c r="G177" s="453"/>
      <c r="H177" s="453"/>
      <c r="I177" s="453"/>
      <c r="J177" s="453"/>
      <c r="K177" s="453"/>
      <c r="L177" s="453"/>
    </row>
    <row r="178" spans="2:17" ht="19.5" customHeight="1" x14ac:dyDescent="0.15">
      <c r="B178" s="513" t="str">
        <f>IF(OR(G172="Yes",G172="No"),"III.B.6.b.1)","")</f>
        <v/>
      </c>
      <c r="C178" s="429" t="str">
        <f>IF(OR(G172="Yes",G172="No"),"Minimum of an Associate Degree","")</f>
        <v/>
      </c>
      <c r="D178" s="429"/>
      <c r="E178" s="429"/>
      <c r="F178" s="429"/>
      <c r="G178" s="438"/>
      <c r="H178" s="441"/>
      <c r="I178" s="440" t="str">
        <f>IF(OR(G172="Yes",G172="No"),"Verified by CoAEMSP    
(Satellite Lead Instructors are verified by CoAEMSP)","")</f>
        <v/>
      </c>
      <c r="J178" s="771"/>
      <c r="K178" s="771"/>
      <c r="L178" s="771"/>
      <c r="N178" s="292" t="str">
        <f>IF(G172="N/A", "", "Note:  Only required if the individual is a lead instructor for a satellite.")</f>
        <v/>
      </c>
      <c r="Q178" s="19" t="s">
        <v>246</v>
      </c>
    </row>
    <row r="179" spans="2:17" ht="54.75" customHeight="1" x14ac:dyDescent="0.15">
      <c r="B179" s="513"/>
      <c r="C179" s="429"/>
      <c r="D179" s="429"/>
      <c r="E179" s="429"/>
      <c r="F179" s="429"/>
      <c r="G179" s="438"/>
      <c r="H179" s="442"/>
      <c r="I179" s="440"/>
      <c r="J179" s="771"/>
      <c r="K179" s="771"/>
      <c r="L179" s="771"/>
      <c r="N179" s="291" t="s">
        <v>712</v>
      </c>
      <c r="Q179" s="19" t="s">
        <v>246</v>
      </c>
    </row>
    <row r="180" spans="2:17" ht="51.75" customHeight="1" x14ac:dyDescent="0.15">
      <c r="B180" s="267" t="str">
        <f>IF(OR(G172="Yes",G172="No"),"III.B.6.b.2)","")</f>
        <v/>
      </c>
      <c r="C180" s="458" t="str">
        <f>IF(OR(G172="Yes",G172="No"),"Professional healthcare credential(s)","")</f>
        <v/>
      </c>
      <c r="D180" s="458"/>
      <c r="E180" s="458"/>
      <c r="F180" s="458"/>
      <c r="G180" s="278"/>
      <c r="H180" s="443"/>
      <c r="I180" s="440"/>
      <c r="J180" s="602"/>
      <c r="K180" s="602"/>
      <c r="L180" s="602"/>
      <c r="N180" s="288" t="s">
        <v>713</v>
      </c>
      <c r="Q180" s="19" t="s">
        <v>247</v>
      </c>
    </row>
    <row r="181" spans="2:17" ht="53.25" customHeight="1" x14ac:dyDescent="0.15">
      <c r="B181" s="267" t="str">
        <f>IF(OR(G172="Yes",G172="No"),"III.B.6.b.3)","")</f>
        <v/>
      </c>
      <c r="C181" s="458" t="str">
        <f>IF(OR(G172="Yes",G172="No"),"Experience in emergency medicine/prehospital care","")</f>
        <v/>
      </c>
      <c r="D181" s="458"/>
      <c r="E181" s="458"/>
      <c r="F181" s="458"/>
      <c r="G181" s="202"/>
      <c r="H181" s="295"/>
      <c r="I181" s="444" t="str">
        <f>IF(OR(G172="Yes",G172="No"),"Verified by by conversation","")</f>
        <v/>
      </c>
      <c r="J181" s="602"/>
      <c r="K181" s="602"/>
      <c r="L181" s="602"/>
      <c r="N181" s="288" t="s">
        <v>714</v>
      </c>
      <c r="Q181" s="19" t="s">
        <v>248</v>
      </c>
    </row>
    <row r="182" spans="2:17" ht="52.5" customHeight="1" x14ac:dyDescent="0.15">
      <c r="B182" s="267" t="str">
        <f>IF(OR(G172="Yes",G172="No"),"III.B.6.b.4)","")</f>
        <v/>
      </c>
      <c r="C182" s="458" t="str">
        <f>IF(OR(G172="Yes",G172="No"),"Knowledge of instructional methods","")</f>
        <v/>
      </c>
      <c r="D182" s="458"/>
      <c r="E182" s="458"/>
      <c r="F182" s="458"/>
      <c r="G182" s="202"/>
      <c r="H182" s="295"/>
      <c r="I182" s="444"/>
      <c r="J182" s="602"/>
      <c r="K182" s="602"/>
      <c r="L182" s="602"/>
      <c r="N182" s="288" t="s">
        <v>715</v>
      </c>
      <c r="Q182" s="19" t="s">
        <v>249</v>
      </c>
    </row>
    <row r="183" spans="2:17" ht="52.5" customHeight="1" x14ac:dyDescent="0.15">
      <c r="B183" s="263" t="str">
        <f>IF(OR(G172="Yes",G172="No"),"III.B.6.b.5)","")</f>
        <v/>
      </c>
      <c r="C183" s="760" t="str">
        <f>IF(OR(G172="Yes",G172="No"),"Teaching experience to deliver content, skills instruction, and remediation","")</f>
        <v/>
      </c>
      <c r="D183" s="760"/>
      <c r="E183" s="760"/>
      <c r="F183" s="760"/>
      <c r="G183" s="203"/>
      <c r="H183" s="295"/>
      <c r="I183" s="445"/>
      <c r="J183" s="602"/>
      <c r="K183" s="602"/>
      <c r="L183" s="602"/>
      <c r="N183" s="288" t="s">
        <v>716</v>
      </c>
      <c r="Q183" s="19" t="s">
        <v>250</v>
      </c>
    </row>
    <row r="184" spans="2:17" ht="20.25" customHeight="1" x14ac:dyDescent="0.15">
      <c r="B184" s="494" t="s">
        <v>487</v>
      </c>
      <c r="C184" s="495"/>
      <c r="D184" s="495"/>
      <c r="E184" s="495"/>
      <c r="F184" s="495"/>
      <c r="G184" s="495"/>
      <c r="H184" s="495"/>
      <c r="I184" s="495"/>
      <c r="J184" s="449"/>
      <c r="K184" s="449"/>
      <c r="L184" s="450"/>
    </row>
    <row r="185" spans="2:17" ht="45.75" customHeight="1" x14ac:dyDescent="0.15">
      <c r="B185" s="757" t="s">
        <v>488</v>
      </c>
      <c r="C185" s="758"/>
      <c r="D185" s="758"/>
      <c r="E185" s="758"/>
      <c r="F185" s="758"/>
      <c r="G185" s="261"/>
      <c r="H185" s="755" t="str">
        <f>IF(AND(G185="Yes",J185=""),"Number of Clinical Coordinators: ==&gt;","")</f>
        <v/>
      </c>
      <c r="I185" s="756"/>
      <c r="J185" s="262"/>
      <c r="K185" s="764" t="str">
        <f>IF(AND($G$185="Yes",$J$185=""),"&lt;== Please select the number of 
        Clinical Coordinators","")</f>
        <v/>
      </c>
      <c r="L185" s="765"/>
    </row>
    <row r="186" spans="2:17" ht="62.25" customHeight="1" x14ac:dyDescent="0.15">
      <c r="B186" s="759" t="str">
        <f>IF(G185="Yes", "a. Responsibilities", "a. Responsibilities
    Although the program does not utilize the clinical coordinator position, the responsibilities for the clinical coordinator position are required
    to be fulfilled.")</f>
        <v>a. Responsibilities
    Although the program does not utilize the clinical coordinator position, the responsibilities for the clinical coordinator position are required
    to be fulfilled.</v>
      </c>
      <c r="C186" s="759"/>
      <c r="D186" s="759"/>
      <c r="E186" s="759"/>
      <c r="F186" s="759"/>
      <c r="G186" s="759"/>
      <c r="H186" s="759"/>
      <c r="I186" s="759"/>
      <c r="J186" s="759"/>
      <c r="K186" s="759"/>
      <c r="L186" s="759"/>
    </row>
    <row r="187" spans="2:17" ht="61.5" customHeight="1" x14ac:dyDescent="0.15">
      <c r="B187" s="267" t="s">
        <v>631</v>
      </c>
      <c r="C187" s="458" t="s">
        <v>632</v>
      </c>
      <c r="D187" s="458"/>
      <c r="E187" s="458"/>
      <c r="F187" s="458"/>
      <c r="G187" s="202"/>
      <c r="H187" s="470"/>
      <c r="I187" s="554" t="str">
        <f>IF(G185="N/A", "", "Verified by conversation with the Program Director and, if applicable, Lead Instructor
"&amp;"Verified by conversation with students")</f>
        <v>Verified by conversation with the Program Director and, if applicable, Lead Instructor
Verified by conversation with students</v>
      </c>
      <c r="J187" s="644"/>
      <c r="K187" s="644"/>
      <c r="L187" s="644"/>
      <c r="N187" s="287" t="s">
        <v>666</v>
      </c>
      <c r="Q187" s="19" t="s">
        <v>518</v>
      </c>
    </row>
    <row r="188" spans="2:17" ht="97.5" customHeight="1" x14ac:dyDescent="0.15">
      <c r="B188" s="267" t="s">
        <v>634</v>
      </c>
      <c r="C188" s="458" t="s">
        <v>633</v>
      </c>
      <c r="D188" s="458"/>
      <c r="E188" s="458"/>
      <c r="F188" s="458"/>
      <c r="G188" s="202"/>
      <c r="H188" s="470"/>
      <c r="I188" s="554"/>
      <c r="J188" s="644"/>
      <c r="K188" s="644"/>
      <c r="L188" s="644"/>
      <c r="N188" s="287" t="s">
        <v>667</v>
      </c>
      <c r="Q188" s="19" t="s">
        <v>519</v>
      </c>
    </row>
    <row r="189" spans="2:17" ht="55.5" customHeight="1" x14ac:dyDescent="0.15">
      <c r="B189" s="454" t="s">
        <v>635</v>
      </c>
      <c r="C189" s="458" t="str">
        <f>IF(G185="N/A", "", "Ensures orientation to the program’s requirements of the personnel who supervise or instruct students at clinical and capstone field internship sites")</f>
        <v>Ensures orientation to the program’s requirements of the personnel who supervise or instruct students at clinical and capstone field internship sites</v>
      </c>
      <c r="D189" s="458"/>
      <c r="E189" s="458"/>
      <c r="F189" s="458"/>
      <c r="G189" s="616"/>
      <c r="H189" s="470"/>
      <c r="I189" s="554"/>
      <c r="J189" s="459"/>
      <c r="K189" s="460"/>
      <c r="L189" s="461"/>
      <c r="N189" s="283" t="s">
        <v>781</v>
      </c>
      <c r="Q189" s="19" t="s">
        <v>520</v>
      </c>
    </row>
    <row r="190" spans="2:17" ht="246" customHeight="1" x14ac:dyDescent="0.15">
      <c r="B190" s="456"/>
      <c r="C190" s="458"/>
      <c r="D190" s="458"/>
      <c r="E190" s="458"/>
      <c r="F190" s="458"/>
      <c r="G190" s="617"/>
      <c r="H190" s="470"/>
      <c r="I190" s="554"/>
      <c r="J190" s="464"/>
      <c r="K190" s="465"/>
      <c r="L190" s="466"/>
      <c r="N190" s="291" t="s">
        <v>751</v>
      </c>
      <c r="Q190" s="19" t="s">
        <v>520</v>
      </c>
    </row>
    <row r="191" spans="2:17" ht="30.75" customHeight="1" x14ac:dyDescent="0.15">
      <c r="B191" s="454" t="s">
        <v>636</v>
      </c>
      <c r="C191" s="458" t="str">
        <f>IF(G185="N/A", "", "Coordinates the assignment of students to clinical and field internship sites")</f>
        <v>Coordinates the assignment of students to clinical and field internship sites</v>
      </c>
      <c r="D191" s="458"/>
      <c r="E191" s="458"/>
      <c r="F191" s="458"/>
      <c r="G191" s="616"/>
      <c r="H191" s="470"/>
      <c r="I191" s="554"/>
      <c r="J191" s="459"/>
      <c r="K191" s="460"/>
      <c r="L191" s="461"/>
      <c r="N191" s="283" t="s">
        <v>699</v>
      </c>
      <c r="Q191" s="19" t="s">
        <v>521</v>
      </c>
    </row>
    <row r="192" spans="2:17" ht="52.5" customHeight="1" x14ac:dyDescent="0.15">
      <c r="B192" s="456"/>
      <c r="C192" s="458"/>
      <c r="D192" s="458"/>
      <c r="E192" s="458"/>
      <c r="F192" s="458"/>
      <c r="G192" s="617"/>
      <c r="H192" s="470"/>
      <c r="I192" s="554"/>
      <c r="J192" s="464"/>
      <c r="K192" s="465"/>
      <c r="L192" s="466"/>
      <c r="N192" s="291" t="s">
        <v>717</v>
      </c>
      <c r="Q192" s="19" t="s">
        <v>521</v>
      </c>
    </row>
    <row r="193" spans="2:17" ht="20.25" customHeight="1" x14ac:dyDescent="0.15">
      <c r="B193" s="453" t="str">
        <f>IF(G185="No", "", "b. Qualifications")</f>
        <v>b. Qualifications</v>
      </c>
      <c r="C193" s="453"/>
      <c r="D193" s="453"/>
      <c r="E193" s="453"/>
      <c r="F193" s="453"/>
      <c r="G193" s="453"/>
      <c r="H193" s="453"/>
      <c r="I193" s="453"/>
      <c r="J193" s="453"/>
      <c r="K193" s="453"/>
      <c r="L193" s="453"/>
    </row>
    <row r="194" spans="2:17" ht="54.75" customHeight="1" x14ac:dyDescent="0.15">
      <c r="B194" s="263" t="str">
        <f>IF(G185="No", "", "III.B.7.b.1)")</f>
        <v>III.B.7.b.1)</v>
      </c>
      <c r="C194" s="429" t="str">
        <f>IF(G185="No", "", "Experience in emergency medical services")</f>
        <v>Experience in emergency medical services</v>
      </c>
      <c r="D194" s="429"/>
      <c r="E194" s="429"/>
      <c r="F194" s="429"/>
      <c r="G194" s="257"/>
      <c r="H194" s="506"/>
      <c r="I194" s="446" t="str">
        <f>IF($G$185="No", "", "CV/Resume and conversation with program director and clinical coordinator")</f>
        <v>CV/Resume and conversation with program director and clinical coordinator</v>
      </c>
      <c r="J194" s="447"/>
      <c r="K194" s="447"/>
      <c r="L194" s="447"/>
      <c r="M194" s="24"/>
      <c r="N194" s="288" t="s">
        <v>718</v>
      </c>
      <c r="Q194" s="19" t="s">
        <v>522</v>
      </c>
    </row>
    <row r="195" spans="2:17" ht="51.75" customHeight="1" x14ac:dyDescent="0.15">
      <c r="B195" s="263" t="str">
        <f>IF(G185="No", "", "III.B.7.b.2)")</f>
        <v>III.B.7.b.2)</v>
      </c>
      <c r="C195" s="429" t="str">
        <f>IF(G185="No", "", "Knowledge of the curriculum")</f>
        <v>Knowledge of the curriculum</v>
      </c>
      <c r="D195" s="429"/>
      <c r="E195" s="429"/>
      <c r="F195" s="429"/>
      <c r="G195" s="257"/>
      <c r="H195" s="506"/>
      <c r="I195" s="446"/>
      <c r="J195" s="447"/>
      <c r="K195" s="447"/>
      <c r="L195" s="447"/>
      <c r="N195" s="288" t="s">
        <v>719</v>
      </c>
      <c r="Q195" s="19" t="s">
        <v>523</v>
      </c>
    </row>
    <row r="196" spans="2:17" ht="53.25" customHeight="1" x14ac:dyDescent="0.15">
      <c r="B196" s="263" t="str">
        <f>IF(G185="No", "", "III.B.7.b.3)")</f>
        <v>III.B.7.b.3)</v>
      </c>
      <c r="C196" s="429" t="str">
        <f>IF(G185="No", "", "Knowledge about the program’s evaluation of 
student learning and performance")</f>
        <v>Knowledge about the program’s evaluation of 
student learning and performance</v>
      </c>
      <c r="D196" s="429"/>
      <c r="E196" s="429"/>
      <c r="F196" s="429"/>
      <c r="G196" s="257"/>
      <c r="H196" s="506"/>
      <c r="I196" s="446"/>
      <c r="J196" s="447"/>
      <c r="K196" s="447"/>
      <c r="L196" s="447"/>
      <c r="N196" s="288" t="s">
        <v>720</v>
      </c>
      <c r="Q196" s="19" t="s">
        <v>524</v>
      </c>
    </row>
    <row r="197" spans="2:17" ht="20.25" customHeight="1" x14ac:dyDescent="0.15">
      <c r="B197" s="448" t="s">
        <v>46</v>
      </c>
      <c r="C197" s="449"/>
      <c r="D197" s="449"/>
      <c r="E197" s="449"/>
      <c r="F197" s="449"/>
      <c r="G197" s="449"/>
      <c r="H197" s="449"/>
      <c r="I197" s="449"/>
      <c r="J197" s="449"/>
      <c r="K197" s="449"/>
      <c r="L197" s="450"/>
      <c r="M197" s="41"/>
    </row>
    <row r="198" spans="2:17" ht="144.75" customHeight="1" x14ac:dyDescent="0.15">
      <c r="B198" s="454" t="s">
        <v>47</v>
      </c>
      <c r="C198" s="426" t="s">
        <v>152</v>
      </c>
      <c r="D198" s="426"/>
      <c r="E198" s="426"/>
      <c r="F198" s="427"/>
      <c r="G198" s="492"/>
      <c r="H198" s="188"/>
      <c r="I198" s="176" t="s">
        <v>441</v>
      </c>
      <c r="J198" s="507"/>
      <c r="K198" s="508"/>
      <c r="L198" s="509"/>
      <c r="N198" s="483" t="s">
        <v>752</v>
      </c>
      <c r="Q198" s="19" t="s">
        <v>573</v>
      </c>
    </row>
    <row r="199" spans="2:17" ht="83.25" customHeight="1" x14ac:dyDescent="0.15">
      <c r="B199" s="455"/>
      <c r="C199" s="429"/>
      <c r="D199" s="429"/>
      <c r="E199" s="429"/>
      <c r="F199" s="430"/>
      <c r="G199" s="519"/>
      <c r="H199" s="188"/>
      <c r="I199" s="177" t="s">
        <v>622</v>
      </c>
      <c r="J199" s="510"/>
      <c r="K199" s="511"/>
      <c r="L199" s="512"/>
      <c r="N199" s="483"/>
    </row>
    <row r="200" spans="2:17" ht="55.5" customHeight="1" x14ac:dyDescent="0.15">
      <c r="B200" s="455"/>
      <c r="C200" s="429"/>
      <c r="D200" s="429"/>
      <c r="E200" s="429"/>
      <c r="F200" s="430"/>
      <c r="G200" s="206" t="str">
        <f>IF(AND(H200="      Same State Satellite Location(s)",J200&lt;&gt;""), "Not Met",IF(AND(H200="      Same State Satellite Location(s)",J200=""),"Met","N/A"))</f>
        <v>N/A</v>
      </c>
      <c r="H200" s="423" t="str">
        <f>IF('Satellite(s)'!$H$6&lt;&gt;"N/A","      Same state satellite location(s)","      No same state satellite location(s)")</f>
        <v xml:space="preserve">      No same state satellite location(s)</v>
      </c>
      <c r="I200" s="424"/>
      <c r="J200" s="420" t="str" cm="1">
        <f t="array" ref="J200">_xlfn.TEXTJOIN("
",TRUE,IF('Satellite(s)'!F36:AB36="Not Met",'Satellite(s)'!F37:AB37,""))</f>
        <v/>
      </c>
      <c r="K200" s="421"/>
      <c r="L200" s="422"/>
      <c r="Q200" s="69" t="s">
        <v>592</v>
      </c>
    </row>
    <row r="201" spans="2:17" ht="55.5" customHeight="1" x14ac:dyDescent="0.15">
      <c r="B201" s="455"/>
      <c r="C201" s="429"/>
      <c r="D201" s="429"/>
      <c r="E201" s="429"/>
      <c r="F201" s="430"/>
      <c r="G201" s="206" t="str">
        <f>IF(AND(H201="      Out-of-state satellite location(s)",J201&lt;&gt;""), "Not Met",IF(AND(H201="      Out-of-state satellite location(s)",J201=""),"Met","N/A"))</f>
        <v>N/A</v>
      </c>
      <c r="H201" s="423" t="str">
        <f>IF('Satellite(s)'!$H$7&lt;&gt;"N/A","      Out-of-state satellite location(s)","      No out-of-state satellite location(s)")</f>
        <v xml:space="preserve">      No out-of-state satellite location(s)</v>
      </c>
      <c r="I201" s="424"/>
      <c r="J201" s="420" t="str" cm="1">
        <f t="array" ref="J201">_xlfn.TEXTJOIN("
",TRUE,IF('Satellite(s)'!F80:L80="Not Met",'Satellite(s)'!F81:L81,""))</f>
        <v/>
      </c>
      <c r="K201" s="421"/>
      <c r="L201" s="422"/>
      <c r="Q201" s="69" t="s">
        <v>593</v>
      </c>
    </row>
    <row r="202" spans="2:17" ht="55.5" customHeight="1" x14ac:dyDescent="0.15">
      <c r="B202" s="456"/>
      <c r="C202" s="432"/>
      <c r="D202" s="432"/>
      <c r="E202" s="432"/>
      <c r="F202" s="433"/>
      <c r="G202" s="206" t="str">
        <f>IF(AND(H202="      Not Approved Satellite Location(s)",J202&lt;&gt;""), "Not Met",IF(AND(H202="      Not Approved Satellite Location(s)",J202=""),"Met","N/A"))</f>
        <v>N/A</v>
      </c>
      <c r="H202" s="423" t="str">
        <f>IF('Satellite(s)'!$H$8&lt;&gt;"","      Not approved satellite location(s)","      No unapproved satellite location(s)")</f>
        <v xml:space="preserve">      No unapproved satellite location(s)</v>
      </c>
      <c r="I202" s="424"/>
      <c r="J202" s="420" t="str" cm="1">
        <f t="array" ref="J202">_xlfn.TEXTJOIN("
",TRUE,IF('Satellite(s)'!F124:L124="Not Met",'Satellite(s)'!F125:L125,""))</f>
        <v/>
      </c>
      <c r="K202" s="421"/>
      <c r="L202" s="422"/>
      <c r="Q202" s="69" t="s">
        <v>594</v>
      </c>
    </row>
    <row r="203" spans="2:17" ht="51.75" customHeight="1" x14ac:dyDescent="0.15">
      <c r="B203" s="454" t="s">
        <v>48</v>
      </c>
      <c r="C203" s="425" t="s">
        <v>208</v>
      </c>
      <c r="D203" s="426"/>
      <c r="E203" s="426"/>
      <c r="F203" s="427"/>
      <c r="G203" s="477"/>
      <c r="H203" s="174"/>
      <c r="I203" s="176" t="s">
        <v>365</v>
      </c>
      <c r="J203" s="459"/>
      <c r="K203" s="460"/>
      <c r="L203" s="461"/>
      <c r="N203" s="481" t="s">
        <v>668</v>
      </c>
      <c r="Q203" s="19" t="s">
        <v>574</v>
      </c>
    </row>
    <row r="204" spans="2:17" ht="50.25" customHeight="1" x14ac:dyDescent="0.15">
      <c r="B204" s="455"/>
      <c r="C204" s="428"/>
      <c r="D204" s="429"/>
      <c r="E204" s="429"/>
      <c r="F204" s="430"/>
      <c r="G204" s="477"/>
      <c r="H204" s="264"/>
      <c r="I204" s="177" t="s">
        <v>575</v>
      </c>
      <c r="J204" s="464"/>
      <c r="K204" s="465"/>
      <c r="L204" s="466"/>
      <c r="N204" s="481"/>
    </row>
    <row r="205" spans="2:17" ht="55.5" customHeight="1" x14ac:dyDescent="0.15">
      <c r="B205" s="455"/>
      <c r="C205" s="428"/>
      <c r="D205" s="429"/>
      <c r="E205" s="429"/>
      <c r="F205" s="430"/>
      <c r="G205" s="206" t="str">
        <f>IF(AND(H205="      Same State Satellite Location(s)",J205&lt;&gt;""), "Not Met",IF(AND(H205="      Same State Satellite Location(s)",J205=""),"Met","N/A"))</f>
        <v>N/A</v>
      </c>
      <c r="H205" s="418" t="str">
        <f>IF('Satellite(s)'!$H$6&lt;&gt;"N/A","      Same state satellite location(s)","      No same state satellite location(s)")</f>
        <v xml:space="preserve">      No same state satellite location(s)</v>
      </c>
      <c r="I205" s="419"/>
      <c r="J205" s="420" t="str" cm="1">
        <f t="array" ref="J205">_xlfn.TEXTJOIN("
",TRUE,IF('Satellite(s)'!$F$40:$AB$40="Not Met",'Satellite(s)'!$F$41:$AB$41,""))</f>
        <v/>
      </c>
      <c r="K205" s="421"/>
      <c r="L205" s="422"/>
      <c r="Q205" s="69" t="s">
        <v>595</v>
      </c>
    </row>
    <row r="206" spans="2:17" ht="55.5" customHeight="1" x14ac:dyDescent="0.15">
      <c r="B206" s="455"/>
      <c r="C206" s="428"/>
      <c r="D206" s="429"/>
      <c r="E206" s="429"/>
      <c r="F206" s="430"/>
      <c r="G206" s="206" t="str">
        <f>IF(AND(H206="      Out-of-state satellite location(s)",J206&lt;&gt;""), "Not Met",IF(AND(H206="      Out-of-state satellite location(s)",J206=""),"Met","N/A"))</f>
        <v>N/A</v>
      </c>
      <c r="H206" s="418" t="str">
        <f>IF('Satellite(s)'!$H$7&lt;&gt;"N/A","      Out-of-state satellite location(s)","      No out-of-state satellite location(s)")</f>
        <v xml:space="preserve">      No out-of-state satellite location(s)</v>
      </c>
      <c r="I206" s="419"/>
      <c r="J206" s="420" t="str" cm="1">
        <f t="array" ref="J206">_xlfn.TEXTJOIN("
",TRUE,IF('Satellite(s)'!$F$84:$L$84="Not Met",'Satellite(s)'!$F$85:$L$85,""))</f>
        <v/>
      </c>
      <c r="K206" s="421"/>
      <c r="L206" s="422"/>
      <c r="Q206" s="69" t="s">
        <v>596</v>
      </c>
    </row>
    <row r="207" spans="2:17" ht="55.5" customHeight="1" x14ac:dyDescent="0.15">
      <c r="B207" s="456"/>
      <c r="C207" s="431"/>
      <c r="D207" s="432"/>
      <c r="E207" s="432"/>
      <c r="F207" s="433"/>
      <c r="G207" s="206" t="str">
        <f>IF(AND(H207="      Not Approved Satellite Location(s)",J207&lt;&gt;""), "Not Met",IF(AND(H207="      Not Approved Satellite Location(s)",J207=""),"Met","N/A"))</f>
        <v>N/A</v>
      </c>
      <c r="H207" s="418" t="str">
        <f>IF('Satellite(s)'!$H$8&lt;&gt;"","      Not approved satellite location(s)","      No unapproved satellite location(s)")</f>
        <v xml:space="preserve">      No unapproved satellite location(s)</v>
      </c>
      <c r="I207" s="419"/>
      <c r="J207" s="420" t="str" cm="1">
        <f t="array" ref="J207">_xlfn.TEXTJOIN("
",TRUE,IF('Satellite(s)'!$F$128:$L$128="Not Met",'Satellite(s)'!$F$129:$L$129,""))</f>
        <v/>
      </c>
      <c r="K207" s="421"/>
      <c r="L207" s="422"/>
      <c r="Q207" s="69" t="s">
        <v>597</v>
      </c>
    </row>
    <row r="208" spans="2:17" ht="33" customHeight="1" x14ac:dyDescent="0.15">
      <c r="B208" s="454" t="s">
        <v>49</v>
      </c>
      <c r="C208" s="425" t="s">
        <v>623</v>
      </c>
      <c r="D208" s="426"/>
      <c r="E208" s="426"/>
      <c r="F208" s="427"/>
      <c r="G208" s="492"/>
      <c r="H208" s="188"/>
      <c r="I208" s="176" t="s">
        <v>88</v>
      </c>
      <c r="J208" s="459"/>
      <c r="K208" s="460"/>
      <c r="L208" s="461"/>
      <c r="N208" s="481" t="s">
        <v>753</v>
      </c>
      <c r="Q208" s="19" t="s">
        <v>572</v>
      </c>
    </row>
    <row r="209" spans="2:105" ht="65.25" customHeight="1" x14ac:dyDescent="0.15">
      <c r="B209" s="455"/>
      <c r="C209" s="428"/>
      <c r="D209" s="429"/>
      <c r="E209" s="429"/>
      <c r="F209" s="430"/>
      <c r="G209" s="519"/>
      <c r="H209" s="188"/>
      <c r="I209" s="176" t="s">
        <v>421</v>
      </c>
      <c r="J209" s="462"/>
      <c r="K209" s="447"/>
      <c r="L209" s="463"/>
      <c r="N209" s="481"/>
    </row>
    <row r="210" spans="2:105" ht="33" customHeight="1" x14ac:dyDescent="0.15">
      <c r="B210" s="455"/>
      <c r="C210" s="428"/>
      <c r="D210" s="429"/>
      <c r="E210" s="429"/>
      <c r="F210" s="430"/>
      <c r="G210" s="519"/>
      <c r="H210" s="188"/>
      <c r="I210" s="176" t="s">
        <v>570</v>
      </c>
      <c r="J210" s="462"/>
      <c r="K210" s="447"/>
      <c r="L210" s="463"/>
      <c r="N210" s="481"/>
    </row>
    <row r="211" spans="2:105" ht="55.5" customHeight="1" x14ac:dyDescent="0.15">
      <c r="B211" s="455"/>
      <c r="C211" s="428"/>
      <c r="D211" s="429"/>
      <c r="E211" s="429"/>
      <c r="F211" s="430"/>
      <c r="G211" s="206" t="str">
        <f>IF(AND(H211="      Same State Satellite Location(s)",J211&lt;&gt;""), "Not Met",IF(AND(H211="      Same State Satellite Location(s)",J211=""),"Met","N/A"))</f>
        <v>N/A</v>
      </c>
      <c r="H211" s="418" t="str">
        <f>IF('Satellite(s)'!$H$6&lt;&gt;"N/A","      Same state satellite location(s)","      No same state satellite location(s)")</f>
        <v xml:space="preserve">      No same state satellite location(s)</v>
      </c>
      <c r="I211" s="419"/>
      <c r="J211" s="420" t="str" cm="1">
        <f t="array" ref="J211">_xlfn.TEXTJOIN("
",TRUE,IF('Satellite(s)'!F34:AB34="Not Met",'Satellite(s)'!F35:AB35,""))</f>
        <v/>
      </c>
      <c r="K211" s="421"/>
      <c r="L211" s="422"/>
      <c r="Q211" s="69" t="s">
        <v>598</v>
      </c>
    </row>
    <row r="212" spans="2:105" ht="55.5" customHeight="1" x14ac:dyDescent="0.15">
      <c r="B212" s="455"/>
      <c r="C212" s="428"/>
      <c r="D212" s="429"/>
      <c r="E212" s="429"/>
      <c r="F212" s="430"/>
      <c r="G212" s="206" t="str">
        <f>IF(AND(H212="      Out-of-state satellite location(s)",J212&lt;&gt;""), "Not Met",IF(AND(H212="      Out-of-state satellite location(s)",J212=""),"Met","N/A"))</f>
        <v>N/A</v>
      </c>
      <c r="H212" s="418" t="str">
        <f>IF('Satellite(s)'!$H$7&lt;&gt;"N/A","      Out-of-state satellite location(s)","      No out-of-state satellite location(s)")</f>
        <v xml:space="preserve">      No out-of-state satellite location(s)</v>
      </c>
      <c r="I212" s="419"/>
      <c r="J212" s="420" t="str" cm="1">
        <f t="array" ref="J212">_xlfn.TEXTJOIN("
",TRUE,IF('Satellite(s)'!F78:L78="Not Met",'Satellite(s)'!F79:L79,""))</f>
        <v/>
      </c>
      <c r="K212" s="421"/>
      <c r="L212" s="422"/>
      <c r="Q212" s="69" t="s">
        <v>599</v>
      </c>
    </row>
    <row r="213" spans="2:105" ht="55.5" customHeight="1" x14ac:dyDescent="0.15">
      <c r="B213" s="456"/>
      <c r="C213" s="428"/>
      <c r="D213" s="429"/>
      <c r="E213" s="429"/>
      <c r="F213" s="430"/>
      <c r="G213" s="273" t="str">
        <f>IF(AND(H213="      Not Approved Satellite Location(s)",J213&lt;&gt;""), "Not Met",IF(AND(H213="      Not Approved Satellite Location(s)",J213=""),"Met","N/A"))</f>
        <v>N/A</v>
      </c>
      <c r="H213" s="700" t="str">
        <f>IF('Satellite(s)'!$H$8&lt;&gt;"","      Not approved satellite location(s)","      No unapproved satellite location(s)")</f>
        <v xml:space="preserve">      No unapproved satellite location(s)</v>
      </c>
      <c r="I213" s="701"/>
      <c r="J213" s="420" t="str" cm="1">
        <f t="array" ref="J213">_xlfn.TEXTJOIN("
",TRUE,IF('Satellite(s)'!F122:L122="Not Met",'Satellite(s)'!F123:L123,""))</f>
        <v/>
      </c>
      <c r="K213" s="421"/>
      <c r="L213" s="422"/>
      <c r="Q213" s="69" t="s">
        <v>600</v>
      </c>
    </row>
    <row r="214" spans="2:105" ht="48" customHeight="1" x14ac:dyDescent="0.15">
      <c r="B214" s="484" t="s">
        <v>490</v>
      </c>
      <c r="C214" s="458" t="s">
        <v>368</v>
      </c>
      <c r="D214" s="458"/>
      <c r="E214" s="458"/>
      <c r="F214" s="458"/>
      <c r="G214" s="437"/>
      <c r="H214" s="470"/>
      <c r="I214" s="467" t="s">
        <v>422</v>
      </c>
      <c r="J214" s="460"/>
      <c r="K214" s="460"/>
      <c r="L214" s="461"/>
      <c r="N214" s="283" t="s">
        <v>782</v>
      </c>
      <c r="Q214" s="19" t="s">
        <v>571</v>
      </c>
    </row>
    <row r="215" spans="2:105" ht="43.5" customHeight="1" x14ac:dyDescent="0.15">
      <c r="B215" s="455"/>
      <c r="C215" s="458"/>
      <c r="D215" s="458"/>
      <c r="E215" s="458"/>
      <c r="F215" s="458"/>
      <c r="G215" s="438"/>
      <c r="H215" s="470"/>
      <c r="I215" s="468"/>
      <c r="J215" s="462"/>
      <c r="K215" s="447"/>
      <c r="L215" s="463"/>
      <c r="N215" s="410" t="s">
        <v>669</v>
      </c>
      <c r="Q215" s="19" t="s">
        <v>571</v>
      </c>
    </row>
    <row r="216" spans="2:105" ht="26.25" customHeight="1" x14ac:dyDescent="0.15">
      <c r="B216" s="455"/>
      <c r="C216" s="458"/>
      <c r="D216" s="458"/>
      <c r="E216" s="458"/>
      <c r="F216" s="458"/>
      <c r="G216" s="439"/>
      <c r="H216" s="470"/>
      <c r="I216" s="469"/>
      <c r="J216" s="464"/>
      <c r="K216" s="465"/>
      <c r="L216" s="466"/>
      <c r="N216" s="410"/>
    </row>
    <row r="217" spans="2:105" ht="55.5" customHeight="1" x14ac:dyDescent="0.15">
      <c r="B217" s="455"/>
      <c r="C217" s="458"/>
      <c r="D217" s="458"/>
      <c r="E217" s="458"/>
      <c r="F217" s="458"/>
      <c r="G217" s="281" t="str">
        <f>IF(AND(H217="      Same State Satellite Location(s)",J217&lt;&gt;""), "Not Met",IF(AND(H217="      Same State Satellite Location(s)",J217=""),"Met","N/A"))</f>
        <v>N/A</v>
      </c>
      <c r="H217" s="423" t="str">
        <f>IF('Satellite(s)'!$H$6&lt;&gt;"N/A","      Same state satellite location(s)","      No same state satellite location(s)")</f>
        <v xml:space="preserve">      No same state satellite location(s)</v>
      </c>
      <c r="I217" s="424"/>
      <c r="J217" s="420" t="str" cm="1">
        <f t="array" ref="J217">_xlfn.TEXTJOIN("
",TRUE,IF('Satellite(s)'!F44:AB44="Not Met",'Satellite(s)'!F45:AB45,""))</f>
        <v/>
      </c>
      <c r="K217" s="421"/>
      <c r="L217" s="422"/>
      <c r="Q217" s="69" t="s">
        <v>601</v>
      </c>
    </row>
    <row r="218" spans="2:105" ht="55.5" customHeight="1" x14ac:dyDescent="0.15">
      <c r="B218" s="455"/>
      <c r="C218" s="458"/>
      <c r="D218" s="458"/>
      <c r="E218" s="458"/>
      <c r="F218" s="458"/>
      <c r="G218" s="281" t="str">
        <f>IF(AND(H218="      Out-of-state satellite location(s)",J218&lt;&gt;""), "Not Met",IF(AND(H218="      Out-of-state satellite location(s)",J218=""),"Met","N/A"))</f>
        <v>N/A</v>
      </c>
      <c r="H218" s="423" t="str">
        <f>IF('Satellite(s)'!$H$7&lt;&gt;"N/A","      Out-of-state satellite location(s)","      No out-of-state satellite location(s)")</f>
        <v xml:space="preserve">      No out-of-state satellite location(s)</v>
      </c>
      <c r="I218" s="424"/>
      <c r="J218" s="420" t="str" cm="1">
        <f t="array" ref="J218">_xlfn.TEXTJOIN("
",TRUE,IF('Satellite(s)'!F88:L88="Not Met",'Satellite(s)'!F89:L89,""))</f>
        <v/>
      </c>
      <c r="K218" s="421"/>
      <c r="L218" s="422"/>
      <c r="Q218" s="69" t="s">
        <v>602</v>
      </c>
    </row>
    <row r="219" spans="2:105" ht="55.5" customHeight="1" x14ac:dyDescent="0.15">
      <c r="B219" s="456"/>
      <c r="C219" s="458"/>
      <c r="D219" s="458"/>
      <c r="E219" s="458"/>
      <c r="F219" s="458"/>
      <c r="G219" s="282" t="str">
        <f>IF(AND(H219="      Not Approved Satellite Location(s)",J219&lt;&gt;""), "Not Met",IF(AND(H219="      Not Approved Satellite Location(s)",J219=""),"Met","N/A"))</f>
        <v>N/A</v>
      </c>
      <c r="H219" s="624" t="str">
        <f>IF('Satellite(s)'!$H$8&lt;&gt;"","      Not approved satellite location(s)","      No unapproved satellite location(s)")</f>
        <v xml:space="preserve">      No unapproved satellite location(s)</v>
      </c>
      <c r="I219" s="467"/>
      <c r="J219" s="420" t="str" cm="1">
        <f t="array" ref="J219">_xlfn.TEXTJOIN("
",TRUE,IF('Satellite(s)'!F132:L132="Not Met",'Satellite(s)'!F133:L133,""))</f>
        <v/>
      </c>
      <c r="K219" s="421"/>
      <c r="L219" s="422"/>
      <c r="Q219" s="69" t="s">
        <v>603</v>
      </c>
    </row>
    <row r="220" spans="2:105" ht="30.75" customHeight="1" x14ac:dyDescent="0.15">
      <c r="B220" s="484" t="s">
        <v>489</v>
      </c>
      <c r="C220" s="458" t="s">
        <v>366</v>
      </c>
      <c r="D220" s="458"/>
      <c r="E220" s="458"/>
      <c r="F220" s="458"/>
      <c r="G220" s="437"/>
      <c r="H220" s="416"/>
      <c r="I220" s="467" t="s">
        <v>423</v>
      </c>
      <c r="J220" s="459"/>
      <c r="K220" s="460"/>
      <c r="L220" s="461"/>
      <c r="N220" s="283" t="s">
        <v>700</v>
      </c>
      <c r="Q220" s="19" t="s">
        <v>569</v>
      </c>
    </row>
    <row r="221" spans="2:105" ht="49.5" customHeight="1" x14ac:dyDescent="0.15">
      <c r="B221" s="455"/>
      <c r="C221" s="458"/>
      <c r="D221" s="458"/>
      <c r="E221" s="458"/>
      <c r="F221" s="458"/>
      <c r="G221" s="438"/>
      <c r="H221" s="417"/>
      <c r="I221" s="469"/>
      <c r="J221" s="462"/>
      <c r="K221" s="447"/>
      <c r="L221" s="463"/>
      <c r="N221" s="410" t="s">
        <v>670</v>
      </c>
      <c r="Q221" s="19" t="s">
        <v>569</v>
      </c>
    </row>
    <row r="222" spans="2:105" ht="55.5" customHeight="1" x14ac:dyDescent="0.15">
      <c r="B222" s="456"/>
      <c r="C222" s="458"/>
      <c r="D222" s="458"/>
      <c r="E222" s="458"/>
      <c r="F222" s="458"/>
      <c r="G222" s="439"/>
      <c r="H222" s="174"/>
      <c r="I222" s="176" t="s">
        <v>424</v>
      </c>
      <c r="J222" s="464"/>
      <c r="K222" s="465"/>
      <c r="L222" s="466"/>
      <c r="N222" s="410"/>
    </row>
    <row r="223" spans="2:105" ht="20.25" customHeight="1" x14ac:dyDescent="0.15">
      <c r="B223" s="494" t="s">
        <v>442</v>
      </c>
      <c r="C223" s="495"/>
      <c r="D223" s="495"/>
      <c r="E223" s="495"/>
      <c r="F223" s="495"/>
      <c r="G223" s="495"/>
      <c r="H223" s="495"/>
      <c r="I223" s="495"/>
      <c r="J223" s="495"/>
      <c r="K223" s="495"/>
      <c r="L223" s="496"/>
    </row>
    <row r="224" spans="2:105" s="11" customFormat="1" ht="72.75" customHeight="1" x14ac:dyDescent="0.15">
      <c r="B224" s="454" t="s">
        <v>50</v>
      </c>
      <c r="C224" s="425" t="s">
        <v>51</v>
      </c>
      <c r="D224" s="426"/>
      <c r="E224" s="426"/>
      <c r="F224" s="427"/>
      <c r="G224" s="492"/>
      <c r="H224" s="174"/>
      <c r="I224" s="178" t="str">
        <f>IF($B$2="PRELIMINARY SITE VISIT REPORT FINDINGS", "Plan to complete the Resourse Assessment Matrix [RAM] annually", "Completed Resource Assessment Matrix [RAM] for the last three (3) years. Initial programs may not have three (3) years of RAMs")</f>
        <v>Completed Resource Assessment Matrix [RAM] for the last three (3) years. Initial programs may not have three (3) years of RAMs</v>
      </c>
      <c r="J224" s="507"/>
      <c r="K224" s="508"/>
      <c r="L224" s="509"/>
      <c r="M224" s="19"/>
      <c r="N224" s="481" t="s">
        <v>754</v>
      </c>
      <c r="O224" s="19"/>
      <c r="P224" s="19"/>
      <c r="Q224" s="19" t="s">
        <v>189</v>
      </c>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c r="BH224" s="19"/>
      <c r="BI224" s="19"/>
      <c r="BJ224" s="19"/>
      <c r="BK224" s="19"/>
      <c r="BL224" s="19"/>
      <c r="BM224" s="19"/>
      <c r="BN224" s="19"/>
      <c r="BO224" s="19"/>
      <c r="BP224" s="19"/>
      <c r="BQ224" s="19"/>
      <c r="BR224" s="19"/>
      <c r="BS224" s="19"/>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c r="CQ224" s="19"/>
      <c r="CR224" s="19"/>
      <c r="CS224" s="19"/>
      <c r="CT224" s="19"/>
      <c r="CU224" s="19"/>
      <c r="CV224" s="19"/>
      <c r="CW224" s="19"/>
      <c r="CX224" s="19"/>
      <c r="CY224" s="19"/>
      <c r="CZ224" s="19"/>
      <c r="DA224" s="19"/>
    </row>
    <row r="225" spans="2:17" ht="56.25" customHeight="1" x14ac:dyDescent="0.15">
      <c r="B225" s="455"/>
      <c r="C225" s="428"/>
      <c r="D225" s="429"/>
      <c r="E225" s="429"/>
      <c r="F225" s="430"/>
      <c r="G225" s="519"/>
      <c r="H225" s="174"/>
      <c r="I225" s="176" t="s">
        <v>425</v>
      </c>
      <c r="J225" s="510"/>
      <c r="K225" s="511"/>
      <c r="L225" s="512"/>
      <c r="N225" s="481"/>
    </row>
    <row r="226" spans="2:17" ht="56.25" customHeight="1" x14ac:dyDescent="0.15">
      <c r="B226" s="455"/>
      <c r="C226" s="428"/>
      <c r="D226" s="429"/>
      <c r="E226" s="429"/>
      <c r="F226" s="430"/>
      <c r="G226" s="519"/>
      <c r="H226" s="174"/>
      <c r="I226" s="177" t="s">
        <v>624</v>
      </c>
      <c r="J226" s="510"/>
      <c r="K226" s="511"/>
      <c r="L226" s="512"/>
      <c r="N226" s="481"/>
    </row>
    <row r="227" spans="2:17" ht="75" customHeight="1" x14ac:dyDescent="0.15">
      <c r="B227" s="455"/>
      <c r="C227" s="428"/>
      <c r="D227" s="429"/>
      <c r="E227" s="429"/>
      <c r="F227" s="430"/>
      <c r="G227" s="206" t="str">
        <f>IF(AND(H227="      Same state satellite location(s)",J227&lt;&gt;""), "Not Met",IF(AND(H227="      Same state satellite location(s)",J227=""),"Met","N/A"))</f>
        <v>N/A</v>
      </c>
      <c r="H227" s="423" t="str">
        <f>IF('Satellite(s)'!$H$6&lt;&gt;"N/A","      Same state satellite location(s)","      No same state satellite location(s)")</f>
        <v xml:space="preserve">      No same state satellite location(s)</v>
      </c>
      <c r="I227" s="424"/>
      <c r="J227" s="542" t="str" cm="1">
        <f t="array" ref="J227">_xlfn.TEXTJOIN("
",TRUE,IF('Satellite(s)'!F22:AB22="Not Met","The RAM was not completed in conjuction with the main campus at the following location(s):" &amp; 'Satellite(s)'!F13:AB13,""))</f>
        <v/>
      </c>
      <c r="K227" s="543"/>
      <c r="L227" s="544"/>
      <c r="Q227" s="69" t="s">
        <v>604</v>
      </c>
    </row>
    <row r="228" spans="2:17" ht="67.5" customHeight="1" x14ac:dyDescent="0.15">
      <c r="B228" s="455"/>
      <c r="C228" s="428"/>
      <c r="D228" s="429"/>
      <c r="E228" s="429"/>
      <c r="F228" s="430"/>
      <c r="G228" s="206" t="str">
        <f>IF(AND(H228="      Out-of-state satellite location(s)",J228&lt;&gt;""), "Not Met",IF(AND(H228="      Out-of-state satellite location(s)",J228=""),"Met","N/A"))</f>
        <v>N/A</v>
      </c>
      <c r="H228" s="423" t="str">
        <f>IF('Satellite(s)'!$H$7&lt;&gt;"N/A","      Out-of-state satellite location(s)","      No out-of-state satellite location(s)")</f>
        <v xml:space="preserve">      No out-of-state satellite location(s)</v>
      </c>
      <c r="I228" s="424"/>
      <c r="J228" s="542" t="str" cm="1">
        <f t="array" ref="J228">_xlfn.TEXTJOIN("
",TRUE,IF('Satellite(s)'!F66:L66="Not Met","The RAM was not completed in conjuction with the main campus at the following location(s):" &amp; 'Satellite(s)'!F57:L57,""))</f>
        <v/>
      </c>
      <c r="K228" s="543"/>
      <c r="L228" s="544"/>
      <c r="Q228" s="69" t="s">
        <v>605</v>
      </c>
    </row>
    <row r="229" spans="2:17" ht="77" customHeight="1" x14ac:dyDescent="0.15">
      <c r="B229" s="456"/>
      <c r="C229" s="431"/>
      <c r="D229" s="432"/>
      <c r="E229" s="432"/>
      <c r="F229" s="433"/>
      <c r="G229" s="206" t="str">
        <f>IF(AND(H229="      Not Approved Satellite Location(s)",J229&lt;&gt;""), "Not Met",IF(AND(H229="      Not Approved Satellite Location(s)",J229=""),"Met","N/A"))</f>
        <v>N/A</v>
      </c>
      <c r="H229" s="423" t="str">
        <f>IF('Satellite(s)'!$H$8&lt;&gt;"","      Not approved satellite location(s)","      No unapproved satellite location(s)")</f>
        <v xml:space="preserve">      No unapproved satellite location(s)</v>
      </c>
      <c r="I229" s="424"/>
      <c r="J229" s="542" t="str" cm="1">
        <f t="array" ref="J229">_xlfn.TEXTJOIN("
",TRUE,IF('Satellite(s)'!F110:L110="Not Met","The RAM was not completed in conjuction with the main campus at the following location(s):" &amp; 'Satellite(s)'!F101:L101,""))</f>
        <v/>
      </c>
      <c r="K229" s="543"/>
      <c r="L229" s="544"/>
      <c r="Q229" s="69" t="s">
        <v>606</v>
      </c>
    </row>
    <row r="230" spans="2:17" ht="100.5" customHeight="1" x14ac:dyDescent="0.15">
      <c r="B230" s="211" t="s">
        <v>50</v>
      </c>
      <c r="C230" s="502" t="s">
        <v>153</v>
      </c>
      <c r="D230" s="503"/>
      <c r="E230" s="503"/>
      <c r="F230" s="504"/>
      <c r="G230" s="205"/>
      <c r="H230" s="174"/>
      <c r="I230" s="176" t="s">
        <v>127</v>
      </c>
      <c r="J230" s="478"/>
      <c r="K230" s="479"/>
      <c r="L230" s="480"/>
      <c r="N230" s="287" t="s">
        <v>901</v>
      </c>
      <c r="Q230" s="19" t="s">
        <v>189</v>
      </c>
    </row>
    <row r="231" spans="2:17" ht="98.25" customHeight="1" x14ac:dyDescent="0.15">
      <c r="B231" s="211" t="s">
        <v>50</v>
      </c>
      <c r="C231" s="502" t="s">
        <v>52</v>
      </c>
      <c r="D231" s="503"/>
      <c r="E231" s="503"/>
      <c r="F231" s="504"/>
      <c r="G231" s="205"/>
      <c r="H231" s="174"/>
      <c r="I231" s="176" t="s">
        <v>426</v>
      </c>
      <c r="J231" s="478"/>
      <c r="K231" s="479"/>
      <c r="L231" s="480"/>
      <c r="N231" s="287" t="s">
        <v>902</v>
      </c>
      <c r="Q231" s="19" t="s">
        <v>189</v>
      </c>
    </row>
    <row r="232" spans="2:17" ht="55.5" customHeight="1" x14ac:dyDescent="0.15">
      <c r="B232" s="211" t="s">
        <v>50</v>
      </c>
      <c r="C232" s="502" t="s">
        <v>53</v>
      </c>
      <c r="D232" s="503"/>
      <c r="E232" s="503"/>
      <c r="F232" s="504"/>
      <c r="G232" s="205"/>
      <c r="H232" s="174"/>
      <c r="I232" s="175" t="s">
        <v>427</v>
      </c>
      <c r="J232" s="459"/>
      <c r="K232" s="460"/>
      <c r="L232" s="461"/>
      <c r="N232" s="287" t="s">
        <v>725</v>
      </c>
      <c r="Q232" s="19" t="s">
        <v>189</v>
      </c>
    </row>
    <row r="233" spans="2:17" s="146" customFormat="1" ht="27" customHeight="1" x14ac:dyDescent="0.15">
      <c r="B233" s="582" t="str">
        <f>IF('Cover Page'!$D$8&lt;&gt;"Please Select",'Cover Page'!$D$8, "Select Program Level on the Cover Page tab")</f>
        <v>Select Program Level on the Cover Page tab</v>
      </c>
      <c r="C233" s="583"/>
      <c r="D233" s="583"/>
      <c r="E233" s="583"/>
      <c r="F233" s="583"/>
      <c r="G233" s="583"/>
      <c r="H233" s="583"/>
      <c r="I233" s="583"/>
      <c r="J233" s="583"/>
      <c r="K233" s="583"/>
      <c r="L233" s="584"/>
      <c r="N233" s="268"/>
      <c r="Q233" s="147"/>
    </row>
    <row r="234" spans="2:17" ht="20.25" customHeight="1" x14ac:dyDescent="0.15">
      <c r="B234" s="585" t="s">
        <v>54</v>
      </c>
      <c r="C234" s="586"/>
      <c r="D234" s="586"/>
      <c r="E234" s="586"/>
      <c r="F234" s="586"/>
      <c r="G234" s="586"/>
      <c r="H234" s="586"/>
      <c r="I234" s="586"/>
      <c r="J234" s="586"/>
      <c r="K234" s="586"/>
      <c r="L234" s="587"/>
    </row>
    <row r="235" spans="2:17" ht="20.25" customHeight="1" x14ac:dyDescent="0.15">
      <c r="B235" s="494" t="s">
        <v>55</v>
      </c>
      <c r="C235" s="495"/>
      <c r="D235" s="495"/>
      <c r="E235" s="495"/>
      <c r="F235" s="495"/>
      <c r="G235" s="495"/>
      <c r="H235" s="495"/>
      <c r="I235" s="495"/>
      <c r="J235" s="495"/>
      <c r="K235" s="495"/>
      <c r="L235" s="496"/>
    </row>
    <row r="236" spans="2:17" ht="20.25" customHeight="1" x14ac:dyDescent="0.15">
      <c r="B236" s="494" t="s">
        <v>56</v>
      </c>
      <c r="C236" s="495"/>
      <c r="D236" s="495"/>
      <c r="E236" s="495"/>
      <c r="F236" s="495"/>
      <c r="G236" s="495"/>
      <c r="H236" s="495"/>
      <c r="I236" s="495"/>
      <c r="J236" s="495"/>
      <c r="K236" s="495"/>
      <c r="L236" s="496"/>
    </row>
    <row r="237" spans="2:17" ht="52.5" customHeight="1" x14ac:dyDescent="0.15">
      <c r="B237" s="454" t="s">
        <v>57</v>
      </c>
      <c r="C237" s="425" t="s">
        <v>58</v>
      </c>
      <c r="D237" s="426"/>
      <c r="E237" s="426"/>
      <c r="F237" s="427"/>
      <c r="G237" s="477"/>
      <c r="H237" s="174"/>
      <c r="I237" s="176" t="str">
        <f>IF($B$2="PRELIMINARY SITE VISIT REPORT FINDINGS","Plan to assess the validity and reliability of program exams","Validity and reliability assessments of  
program exams completed")</f>
        <v>Validity and reliability assessments of  
program exams completed</v>
      </c>
      <c r="J237" s="459"/>
      <c r="K237" s="460"/>
      <c r="L237" s="461"/>
      <c r="N237" s="481" t="s">
        <v>671</v>
      </c>
      <c r="Q237" s="19" t="s">
        <v>190</v>
      </c>
    </row>
    <row r="238" spans="2:17" ht="73.5" customHeight="1" x14ac:dyDescent="0.15">
      <c r="B238" s="455"/>
      <c r="C238" s="428"/>
      <c r="D238" s="429"/>
      <c r="E238" s="429"/>
      <c r="F238" s="430"/>
      <c r="G238" s="477"/>
      <c r="H238" s="174"/>
      <c r="I238" s="176" t="str">
        <f>IF($B$2="PRELIMINARY SITE VISIT REPORT FINDINGS","Plan for feedback mechanisms by program to students indicating progress toward achievement of competencies", "Feedback mechanisms by program to 
students indicating progress toward 
achievement of competencies")</f>
        <v>Feedback mechanisms by program to 
students indicating progress toward 
achievement of competencies</v>
      </c>
      <c r="J238" s="462"/>
      <c r="K238" s="447"/>
      <c r="L238" s="463"/>
      <c r="N238" s="481"/>
    </row>
    <row r="239" spans="2:17" ht="51.75" customHeight="1" x14ac:dyDescent="0.15">
      <c r="B239" s="455"/>
      <c r="C239" s="428"/>
      <c r="D239" s="429"/>
      <c r="E239" s="429"/>
      <c r="F239" s="430"/>
      <c r="G239" s="477"/>
      <c r="H239" s="174"/>
      <c r="I239" s="176" t="str">
        <f>IF($B$2="PRELIMINARY SITE VISIT REPORT FINDINGS","Plan for evidence of demonstration of skill mastery prior to entering clinical areas", "Evidence of demonstration of skill mastery prior to entering clinical areas")</f>
        <v>Evidence of demonstration of skill mastery prior to entering clinical areas</v>
      </c>
      <c r="J239" s="462"/>
      <c r="K239" s="447"/>
      <c r="L239" s="463"/>
      <c r="N239" s="481"/>
    </row>
    <row r="240" spans="2:17" ht="55.5" customHeight="1" x14ac:dyDescent="0.15">
      <c r="B240" s="455"/>
      <c r="C240" s="428"/>
      <c r="D240" s="429"/>
      <c r="E240" s="429"/>
      <c r="F240" s="430"/>
      <c r="G240" s="206" t="str">
        <f>IF(AND(H240="      Same State Satellite Location(s)",J240&lt;&gt;""), "Not Met",IF(AND(H240="      Same State Satellite Location(s)",J240=""),"Met","N/A"))</f>
        <v>N/A</v>
      </c>
      <c r="H240" s="554" t="str">
        <f>IF('Satellite(s)'!$H$6&lt;&gt;"N/A","      Same state satellite location(s)","      No same state satellite location(s)")</f>
        <v xml:space="preserve">      No same state satellite location(s)</v>
      </c>
      <c r="I240" s="554"/>
      <c r="J240" s="420" t="str" cm="1">
        <f t="array" ref="J240">_xlfn.TEXTJOIN("
",TRUE,IF('Satellite(s)'!F42:AB42="Not Met",'Satellite(s)'!F43:AB43,""))</f>
        <v/>
      </c>
      <c r="K240" s="421"/>
      <c r="L240" s="422"/>
      <c r="Q240" s="69" t="s">
        <v>607</v>
      </c>
    </row>
    <row r="241" spans="2:17" ht="55.5" customHeight="1" x14ac:dyDescent="0.15">
      <c r="B241" s="455"/>
      <c r="C241" s="428"/>
      <c r="D241" s="429"/>
      <c r="E241" s="429"/>
      <c r="F241" s="430"/>
      <c r="G241" s="206" t="str">
        <f>IF(AND(H241="      Out-of-state satellite location(s)",J241&lt;&gt;""), "Not Met",IF(AND(H241="      Out-of-state satellite location(s)",J241=""),"Met","N/A"))</f>
        <v>N/A</v>
      </c>
      <c r="H241" s="554" t="str">
        <f>IF('Satellite(s)'!$H$7&lt;&gt;"N/A","      Out-of-state satellite location(s)","      No out-of-state satellite location(s)")</f>
        <v xml:space="preserve">      No out-of-state satellite location(s)</v>
      </c>
      <c r="I241" s="554"/>
      <c r="J241" s="420" t="str" cm="1">
        <f t="array" ref="J241">_xlfn.TEXTJOIN("
",TRUE,IF('Satellite(s)'!F86:L86="Not Met",'Satellite(s)'!F87:L87,""))</f>
        <v/>
      </c>
      <c r="K241" s="421"/>
      <c r="L241" s="422"/>
      <c r="Q241" s="69" t="s">
        <v>608</v>
      </c>
    </row>
    <row r="242" spans="2:17" ht="55.5" customHeight="1" x14ac:dyDescent="0.15">
      <c r="B242" s="456"/>
      <c r="C242" s="431"/>
      <c r="D242" s="432"/>
      <c r="E242" s="432"/>
      <c r="F242" s="433"/>
      <c r="G242" s="206" t="str">
        <f>IF(AND(H242="      Not Approved Satellite Location(s)",J242&lt;&gt;""), "Not Met",IF(AND(H242="      Not Approved Satellite Location(s)",J242=""),"Met","N/A"))</f>
        <v>N/A</v>
      </c>
      <c r="H242" s="554" t="str">
        <f>IF('Satellite(s)'!$H$8&lt;&gt;"","      Not approved satellite location(s)","      No unapproved satellite location(s)")</f>
        <v xml:space="preserve">      No unapproved satellite location(s)</v>
      </c>
      <c r="I242" s="554"/>
      <c r="J242" s="420" t="str" cm="1">
        <f t="array" ref="J242">_xlfn.TEXTJOIN("
",TRUE,IF('Satellite(s)'!F130:L130="Not Met",'Satellite(s)'!F131:L131,""))</f>
        <v/>
      </c>
      <c r="K242" s="421"/>
      <c r="L242" s="422"/>
      <c r="Q242" s="69" t="s">
        <v>609</v>
      </c>
    </row>
    <row r="243" spans="2:17" ht="86.25" customHeight="1" x14ac:dyDescent="0.15">
      <c r="B243" s="454" t="s">
        <v>57</v>
      </c>
      <c r="C243" s="425" t="s">
        <v>154</v>
      </c>
      <c r="D243" s="426"/>
      <c r="E243" s="426"/>
      <c r="F243" s="427"/>
      <c r="G243" s="702"/>
      <c r="H243" s="174"/>
      <c r="I243" s="176" t="s">
        <v>428</v>
      </c>
      <c r="J243" s="459"/>
      <c r="K243" s="460"/>
      <c r="L243" s="461"/>
      <c r="N243" s="481" t="s">
        <v>906</v>
      </c>
      <c r="Q243" s="19" t="s">
        <v>190</v>
      </c>
    </row>
    <row r="244" spans="2:17" ht="66.75" customHeight="1" x14ac:dyDescent="0.15">
      <c r="B244" s="455"/>
      <c r="C244" s="428"/>
      <c r="D244" s="429"/>
      <c r="E244" s="429"/>
      <c r="F244" s="430"/>
      <c r="G244" s="702"/>
      <c r="H244" s="174"/>
      <c r="I244" s="176" t="str">
        <f>IF($B$2="PRELIMINARY SITE VISIT REPORT FINDINGS","Plan for documentation of summative competency assessment for cognitive, clinical, and field components for students", "Documentation of summative competency assessment for cognitive, clinical, and field components for students")</f>
        <v>Documentation of summative competency assessment for cognitive, clinical, and field components for students</v>
      </c>
      <c r="J244" s="462"/>
      <c r="K244" s="447"/>
      <c r="L244" s="463"/>
      <c r="N244" s="481"/>
    </row>
    <row r="245" spans="2:17" ht="45" customHeight="1" x14ac:dyDescent="0.15">
      <c r="B245" s="455"/>
      <c r="C245" s="431"/>
      <c r="D245" s="432"/>
      <c r="E245" s="432"/>
      <c r="F245" s="433"/>
      <c r="G245" s="702"/>
      <c r="H245" s="174"/>
      <c r="I245" s="176" t="s">
        <v>429</v>
      </c>
      <c r="J245" s="464"/>
      <c r="K245" s="465"/>
      <c r="L245" s="466"/>
      <c r="N245" s="481"/>
    </row>
    <row r="246" spans="2:17" ht="20.25" customHeight="1" x14ac:dyDescent="0.15">
      <c r="B246" s="494" t="s">
        <v>59</v>
      </c>
      <c r="C246" s="495"/>
      <c r="D246" s="495"/>
      <c r="E246" s="495"/>
      <c r="F246" s="495"/>
      <c r="G246" s="495"/>
      <c r="H246" s="495"/>
      <c r="I246" s="495"/>
      <c r="J246" s="495"/>
      <c r="K246" s="495"/>
      <c r="L246" s="496"/>
    </row>
    <row r="247" spans="2:17" ht="96" customHeight="1" x14ac:dyDescent="0.15">
      <c r="B247" s="265" t="s">
        <v>156</v>
      </c>
      <c r="C247" s="555" t="s">
        <v>155</v>
      </c>
      <c r="D247" s="555"/>
      <c r="E247" s="555"/>
      <c r="F247" s="556"/>
      <c r="G247" s="276"/>
      <c r="H247" s="275"/>
      <c r="I247" s="199" t="str">
        <f>IF($B$2="PRELIMINARY SITE VISIT REPORT FINDINGS","Conversation regarding documents for student records","Reviewed student records")</f>
        <v>Reviewed student records</v>
      </c>
      <c r="J247" s="557"/>
      <c r="K247" s="547"/>
      <c r="L247" s="548"/>
      <c r="N247" s="287" t="s">
        <v>672</v>
      </c>
      <c r="Q247" s="19" t="s">
        <v>251</v>
      </c>
    </row>
    <row r="248" spans="2:17" ht="30.75" customHeight="1" x14ac:dyDescent="0.15">
      <c r="B248" s="545" t="s">
        <v>157</v>
      </c>
      <c r="C248" s="537" t="s">
        <v>158</v>
      </c>
      <c r="D248" s="537"/>
      <c r="E248" s="537"/>
      <c r="F248" s="537"/>
      <c r="G248" s="538"/>
      <c r="H248" s="540"/>
      <c r="I248" s="552" t="s">
        <v>568</v>
      </c>
      <c r="J248" s="547"/>
      <c r="K248" s="547"/>
      <c r="L248" s="548"/>
      <c r="N248" s="283" t="s">
        <v>701</v>
      </c>
      <c r="Q248" s="19" t="s">
        <v>251</v>
      </c>
    </row>
    <row r="249" spans="2:17" ht="77.25" customHeight="1" x14ac:dyDescent="0.15">
      <c r="B249" s="546"/>
      <c r="C249" s="537"/>
      <c r="D249" s="537"/>
      <c r="E249" s="537"/>
      <c r="F249" s="537"/>
      <c r="G249" s="539"/>
      <c r="H249" s="541"/>
      <c r="I249" s="553"/>
      <c r="J249" s="549"/>
      <c r="K249" s="550"/>
      <c r="L249" s="551"/>
      <c r="N249" s="291" t="s">
        <v>761</v>
      </c>
      <c r="Q249" s="19" t="s">
        <v>252</v>
      </c>
    </row>
    <row r="250" spans="2:17" ht="20.25" customHeight="1" x14ac:dyDescent="0.15">
      <c r="B250" s="494" t="s">
        <v>61</v>
      </c>
      <c r="C250" s="495"/>
      <c r="D250" s="495"/>
      <c r="E250" s="495"/>
      <c r="F250" s="495"/>
      <c r="G250" s="495"/>
      <c r="H250" s="495"/>
      <c r="I250" s="495"/>
      <c r="J250" s="495"/>
      <c r="K250" s="495"/>
      <c r="L250" s="496"/>
    </row>
    <row r="251" spans="2:17" ht="20.25" customHeight="1" x14ac:dyDescent="0.15">
      <c r="B251" s="494" t="s">
        <v>491</v>
      </c>
      <c r="C251" s="515"/>
      <c r="D251" s="515"/>
      <c r="E251" s="515"/>
      <c r="F251" s="515"/>
      <c r="G251" s="515"/>
      <c r="H251" s="515"/>
      <c r="I251" s="515"/>
      <c r="J251" s="495"/>
      <c r="K251" s="495"/>
      <c r="L251" s="496"/>
    </row>
    <row r="252" spans="2:17" ht="18.75" customHeight="1" x14ac:dyDescent="0.15">
      <c r="B252" s="534" t="s">
        <v>60</v>
      </c>
      <c r="C252" s="412" t="s">
        <v>128</v>
      </c>
      <c r="D252" s="412"/>
      <c r="E252" s="412"/>
      <c r="F252" s="412"/>
      <c r="G252" s="413"/>
      <c r="H252" s="411" t="str">
        <f>IF($B$2="PRELIMINARY SITE VISIT REPORT FINDINGS","", "NA should only be selected for programs seeking Initial Accreditation")</f>
        <v>NA should only be selected for programs seeking Initial Accreditation</v>
      </c>
      <c r="I252" s="411"/>
      <c r="J252" s="649"/>
      <c r="K252" s="649"/>
      <c r="L252" s="650"/>
      <c r="N252" s="283" t="s">
        <v>673</v>
      </c>
      <c r="Q252" s="19" t="s">
        <v>191</v>
      </c>
    </row>
    <row r="253" spans="2:17" ht="46.5" customHeight="1" x14ac:dyDescent="0.15">
      <c r="B253" s="535"/>
      <c r="C253" s="412"/>
      <c r="D253" s="412"/>
      <c r="E253" s="412"/>
      <c r="F253" s="412"/>
      <c r="G253" s="414"/>
      <c r="H253" s="411"/>
      <c r="I253" s="411"/>
      <c r="J253" s="651"/>
      <c r="K253" s="602"/>
      <c r="L253" s="652"/>
      <c r="N253" s="410" t="s">
        <v>762</v>
      </c>
      <c r="Q253" s="19" t="s">
        <v>191</v>
      </c>
    </row>
    <row r="254" spans="2:17" ht="46.5" customHeight="1" x14ac:dyDescent="0.15">
      <c r="B254" s="536"/>
      <c r="C254" s="412"/>
      <c r="D254" s="412"/>
      <c r="E254" s="412"/>
      <c r="F254" s="412"/>
      <c r="G254" s="415"/>
      <c r="H254" s="182"/>
      <c r="I254" s="187" t="str">
        <f>IF($B$2="PRELIMINARY SITE VISIT REPORT FINDINGS","Plan to obtain the data for retention, credentialing, placement", "Reviewed most recent annual report")</f>
        <v>Reviewed most recent annual report</v>
      </c>
      <c r="J254" s="653"/>
      <c r="K254" s="654"/>
      <c r="L254" s="655"/>
      <c r="N254" s="410"/>
    </row>
    <row r="255" spans="2:17" ht="33.75" customHeight="1" x14ac:dyDescent="0.15">
      <c r="B255" s="534" t="s">
        <v>60</v>
      </c>
      <c r="C255" s="656" t="s">
        <v>205</v>
      </c>
      <c r="D255" s="656"/>
      <c r="E255" s="656"/>
      <c r="F255" s="656"/>
      <c r="G255" s="413"/>
      <c r="H255" s="416"/>
      <c r="I255" s="497" t="str">
        <f>IF(AND($B$2="PRELIMINARY SITE VISIT REPORT FINDINGS",H256="N/A"),"N/A - Seeking the Letter of Review", "Reviewed program's analysis and action plans in the annual report")</f>
        <v>Reviewed program's analysis and action plans in the annual report</v>
      </c>
      <c r="J255" s="648"/>
      <c r="K255" s="649"/>
      <c r="L255" s="650"/>
      <c r="N255" s="283" t="s">
        <v>702</v>
      </c>
      <c r="Q255" s="19" t="s">
        <v>191</v>
      </c>
    </row>
    <row r="256" spans="2:17" ht="44.25" customHeight="1" x14ac:dyDescent="0.15">
      <c r="B256" s="535"/>
      <c r="C256" s="656"/>
      <c r="D256" s="656"/>
      <c r="E256" s="656"/>
      <c r="F256" s="656"/>
      <c r="G256" s="415"/>
      <c r="H256" s="417"/>
      <c r="I256" s="499"/>
      <c r="J256" s="653"/>
      <c r="K256" s="654"/>
      <c r="L256" s="655"/>
      <c r="N256" s="291" t="s">
        <v>721</v>
      </c>
      <c r="Q256" s="19" t="s">
        <v>191</v>
      </c>
    </row>
    <row r="257" spans="2:17" ht="64.5" customHeight="1" x14ac:dyDescent="0.15">
      <c r="B257" s="534" t="s">
        <v>60</v>
      </c>
      <c r="C257" s="656" t="s">
        <v>567</v>
      </c>
      <c r="D257" s="656"/>
      <c r="E257" s="656"/>
      <c r="F257" s="656"/>
      <c r="G257" s="413"/>
      <c r="H257" s="416"/>
      <c r="I257" s="497" t="str">
        <f>IF($B$2="PRELIMINARY SITE VISIT REPORT FINDINGS","N/A - Seeking the Letter of Review", "Reviewed implemented changes based on analysis and action plans from the annual reports")</f>
        <v>Reviewed implemented changes based on analysis and action plans from the annual reports</v>
      </c>
      <c r="J257" s="651"/>
      <c r="K257" s="602"/>
      <c r="L257" s="652"/>
      <c r="N257" s="283" t="s">
        <v>703</v>
      </c>
      <c r="Q257" s="19" t="s">
        <v>191</v>
      </c>
    </row>
    <row r="258" spans="2:17" ht="70.5" customHeight="1" x14ac:dyDescent="0.15">
      <c r="B258" s="535"/>
      <c r="C258" s="656"/>
      <c r="D258" s="656"/>
      <c r="E258" s="656"/>
      <c r="F258" s="656"/>
      <c r="G258" s="414"/>
      <c r="H258" s="657"/>
      <c r="I258" s="498"/>
      <c r="J258" s="651"/>
      <c r="K258" s="602"/>
      <c r="L258" s="652"/>
      <c r="N258" s="410" t="s">
        <v>674</v>
      </c>
      <c r="Q258" s="19" t="s">
        <v>191</v>
      </c>
    </row>
    <row r="259" spans="2:17" ht="27.75" customHeight="1" x14ac:dyDescent="0.15">
      <c r="B259" s="536"/>
      <c r="C259" s="656"/>
      <c r="D259" s="656"/>
      <c r="E259" s="656"/>
      <c r="F259" s="656"/>
      <c r="G259" s="415"/>
      <c r="H259" s="417"/>
      <c r="I259" s="499"/>
      <c r="J259" s="653"/>
      <c r="K259" s="654"/>
      <c r="L259" s="655"/>
      <c r="N259" s="410"/>
    </row>
    <row r="260" spans="2:17" ht="20.25" customHeight="1" x14ac:dyDescent="0.15">
      <c r="B260" s="494" t="s">
        <v>492</v>
      </c>
      <c r="C260" s="495"/>
      <c r="D260" s="495"/>
      <c r="E260" s="495"/>
      <c r="F260" s="495"/>
      <c r="G260" s="495"/>
      <c r="H260" s="495"/>
      <c r="I260" s="495"/>
      <c r="J260" s="495"/>
      <c r="K260" s="495"/>
      <c r="L260" s="496"/>
    </row>
    <row r="261" spans="2:17" ht="20.25" customHeight="1" x14ac:dyDescent="0.15">
      <c r="B261" s="647" t="s">
        <v>62</v>
      </c>
      <c r="C261" s="412" t="s">
        <v>159</v>
      </c>
      <c r="D261" s="412"/>
      <c r="E261" s="412"/>
      <c r="F261" s="412"/>
      <c r="G261" s="413"/>
      <c r="H261" s="411" t="str">
        <f>IF($B$2="PRELIMINARY SITE VISIT REPORT FINDINGS","", "NA should only be selected for programs seeking Initial Accreditation")</f>
        <v>NA should only be selected for programs seeking Initial Accreditation</v>
      </c>
      <c r="I261" s="411"/>
      <c r="J261" s="648"/>
      <c r="K261" s="649"/>
      <c r="L261" s="650"/>
      <c r="N261" s="283" t="s">
        <v>675</v>
      </c>
      <c r="Q261" s="19" t="s">
        <v>370</v>
      </c>
    </row>
    <row r="262" spans="2:17" ht="58" customHeight="1" x14ac:dyDescent="0.15">
      <c r="B262" s="535"/>
      <c r="C262" s="412"/>
      <c r="D262" s="412"/>
      <c r="E262" s="412"/>
      <c r="F262" s="412"/>
      <c r="G262" s="414"/>
      <c r="H262" s="411"/>
      <c r="I262" s="411"/>
      <c r="J262" s="651"/>
      <c r="K262" s="602"/>
      <c r="L262" s="652"/>
      <c r="M262" s="63"/>
      <c r="N262" s="410" t="s">
        <v>763</v>
      </c>
      <c r="O262" s="63"/>
      <c r="P262" s="63"/>
      <c r="Q262" s="19" t="s">
        <v>370</v>
      </c>
    </row>
    <row r="263" spans="2:17" ht="87" customHeight="1" x14ac:dyDescent="0.15">
      <c r="B263" s="536"/>
      <c r="C263" s="412"/>
      <c r="D263" s="412"/>
      <c r="E263" s="412"/>
      <c r="F263" s="412"/>
      <c r="G263" s="415"/>
      <c r="H263" s="185"/>
      <c r="I263" s="186" t="str">
        <f>IF($B$2="PRELIMINARY SITE VISIT REPORT FINDINGS","N/A - Seeking the Letter of Review
Educate the program about the CoAEMSP Annual Report", "Validate that the outcomes in the Annual Report match outcomes posted on the program's website")</f>
        <v>Validate that the outcomes in the Annual Report match outcomes posted on the program's website</v>
      </c>
      <c r="J263" s="653"/>
      <c r="K263" s="654"/>
      <c r="L263" s="655"/>
      <c r="M263" s="63"/>
      <c r="N263" s="410"/>
      <c r="O263" s="63"/>
      <c r="P263" s="63"/>
    </row>
    <row r="264" spans="2:17" s="146" customFormat="1" ht="27" customHeight="1" x14ac:dyDescent="0.15">
      <c r="B264" s="582" t="str">
        <f>IF('Cover Page'!$D$8&lt;&gt;"Please Select",'Cover Page'!$D$8, "Select Program Level on the Cover Page tab")</f>
        <v>Select Program Level on the Cover Page tab</v>
      </c>
      <c r="C264" s="583"/>
      <c r="D264" s="583"/>
      <c r="E264" s="583"/>
      <c r="F264" s="583"/>
      <c r="G264" s="583"/>
      <c r="H264" s="583"/>
      <c r="I264" s="583"/>
      <c r="J264" s="583"/>
      <c r="K264" s="583"/>
      <c r="L264" s="584"/>
      <c r="N264" s="268"/>
      <c r="Q264" s="147"/>
    </row>
    <row r="265" spans="2:17" ht="20.25" customHeight="1" x14ac:dyDescent="0.15">
      <c r="B265" s="585" t="s">
        <v>63</v>
      </c>
      <c r="C265" s="586"/>
      <c r="D265" s="586"/>
      <c r="E265" s="586"/>
      <c r="F265" s="586"/>
      <c r="G265" s="586"/>
      <c r="H265" s="586"/>
      <c r="I265" s="586"/>
      <c r="J265" s="586"/>
      <c r="K265" s="586"/>
      <c r="L265" s="587"/>
    </row>
    <row r="266" spans="2:17" ht="20.25" customHeight="1" x14ac:dyDescent="0.15">
      <c r="B266" s="494" t="s">
        <v>64</v>
      </c>
      <c r="C266" s="495"/>
      <c r="D266" s="495"/>
      <c r="E266" s="495"/>
      <c r="F266" s="495"/>
      <c r="G266" s="495"/>
      <c r="H266" s="495"/>
      <c r="I266" s="495"/>
      <c r="J266" s="495"/>
      <c r="K266" s="495"/>
      <c r="L266" s="496"/>
    </row>
    <row r="267" spans="2:17" ht="53.25" customHeight="1" x14ac:dyDescent="0.15">
      <c r="B267" s="207" t="s">
        <v>65</v>
      </c>
      <c r="C267" s="458" t="s">
        <v>493</v>
      </c>
      <c r="D267" s="458"/>
      <c r="E267" s="458"/>
      <c r="F267" s="458"/>
      <c r="G267" s="209"/>
      <c r="H267" s="703" t="s">
        <v>430</v>
      </c>
      <c r="I267" s="704"/>
      <c r="J267" s="464"/>
      <c r="K267" s="465"/>
      <c r="L267" s="466"/>
      <c r="N267" s="287" t="s">
        <v>676</v>
      </c>
      <c r="Q267" s="19" t="s">
        <v>253</v>
      </c>
    </row>
    <row r="268" spans="2:17" ht="63.75" customHeight="1" x14ac:dyDescent="0.15">
      <c r="B268" s="211" t="s">
        <v>66</v>
      </c>
      <c r="C268" s="458" t="s">
        <v>494</v>
      </c>
      <c r="D268" s="458"/>
      <c r="E268" s="458"/>
      <c r="F268" s="458"/>
      <c r="G268" s="208"/>
      <c r="H268" s="174"/>
      <c r="I268" s="705" t="str">
        <f>IF($B$2="PRELIMINARY SITE VISIT REPORT FINDINGS","Confirm there is no published statement regarding LoR or accreditation.  There should be no mention of seeking LoR or accreditation.
Reviewed the policies (institutional and/or program)"&amp;"
Reviewed student handbook
Reviewed website"&amp;"
Verified with students &amp; graduates","Reviewed the policies (institutional and/or program)"&amp;"
Reviewed student handbook"&amp;"
Reviewed website
Verified with students &amp; graduates")</f>
        <v>Reviewed the policies (institutional and/or program)
Reviewed student handbook
Reviewed website
Verified with students &amp; graduates</v>
      </c>
      <c r="J268" s="478"/>
      <c r="K268" s="479"/>
      <c r="L268" s="480"/>
      <c r="N268" s="287" t="s">
        <v>677</v>
      </c>
      <c r="Q268" s="19" t="s">
        <v>254</v>
      </c>
    </row>
    <row r="269" spans="2:17" ht="39" customHeight="1" x14ac:dyDescent="0.15">
      <c r="B269" s="211" t="s">
        <v>66</v>
      </c>
      <c r="C269" s="458" t="s">
        <v>495</v>
      </c>
      <c r="D269" s="458"/>
      <c r="E269" s="458"/>
      <c r="F269" s="458"/>
      <c r="G269" s="208"/>
      <c r="H269" s="174"/>
      <c r="I269" s="706"/>
      <c r="J269" s="478"/>
      <c r="K269" s="479"/>
      <c r="L269" s="480"/>
      <c r="N269" s="287" t="s">
        <v>726</v>
      </c>
      <c r="Q269" s="19" t="s">
        <v>254</v>
      </c>
    </row>
    <row r="270" spans="2:17" ht="39" customHeight="1" x14ac:dyDescent="0.15">
      <c r="B270" s="211" t="s">
        <v>66</v>
      </c>
      <c r="C270" s="458" t="s">
        <v>79</v>
      </c>
      <c r="D270" s="458"/>
      <c r="E270" s="458"/>
      <c r="F270" s="458"/>
      <c r="G270" s="208"/>
      <c r="H270" s="174"/>
      <c r="I270" s="706"/>
      <c r="J270" s="478"/>
      <c r="K270" s="479"/>
      <c r="L270" s="480"/>
      <c r="N270" s="287" t="s">
        <v>678</v>
      </c>
      <c r="Q270" s="19" t="s">
        <v>254</v>
      </c>
    </row>
    <row r="271" spans="2:17" ht="39" customHeight="1" x14ac:dyDescent="0.15">
      <c r="B271" s="211" t="s">
        <v>66</v>
      </c>
      <c r="C271" s="458" t="s">
        <v>206</v>
      </c>
      <c r="D271" s="458"/>
      <c r="E271" s="458"/>
      <c r="F271" s="458"/>
      <c r="G271" s="208"/>
      <c r="H271" s="174"/>
      <c r="I271" s="706"/>
      <c r="J271" s="478"/>
      <c r="K271" s="479"/>
      <c r="L271" s="480"/>
      <c r="N271" s="287" t="s">
        <v>679</v>
      </c>
      <c r="Q271" s="19" t="s">
        <v>254</v>
      </c>
    </row>
    <row r="272" spans="2:17" ht="39" customHeight="1" x14ac:dyDescent="0.15">
      <c r="B272" s="211" t="s">
        <v>66</v>
      </c>
      <c r="C272" s="458" t="s">
        <v>496</v>
      </c>
      <c r="D272" s="458"/>
      <c r="E272" s="458"/>
      <c r="F272" s="458"/>
      <c r="G272" s="208"/>
      <c r="H272" s="174"/>
      <c r="I272" s="706"/>
      <c r="J272" s="478"/>
      <c r="K272" s="479"/>
      <c r="L272" s="480"/>
      <c r="N272" s="287" t="s">
        <v>680</v>
      </c>
      <c r="Q272" s="19" t="s">
        <v>254</v>
      </c>
    </row>
    <row r="273" spans="2:17" ht="39" customHeight="1" x14ac:dyDescent="0.15">
      <c r="B273" s="211" t="s">
        <v>66</v>
      </c>
      <c r="C273" s="458" t="s">
        <v>565</v>
      </c>
      <c r="D273" s="458"/>
      <c r="E273" s="458"/>
      <c r="F273" s="458"/>
      <c r="G273" s="208"/>
      <c r="H273" s="174"/>
      <c r="I273" s="706"/>
      <c r="J273" s="478"/>
      <c r="K273" s="479"/>
      <c r="L273" s="480"/>
      <c r="N273" s="287" t="s">
        <v>681</v>
      </c>
      <c r="Q273" s="19" t="s">
        <v>254</v>
      </c>
    </row>
    <row r="274" spans="2:17" ht="39" customHeight="1" x14ac:dyDescent="0.15">
      <c r="B274" s="211" t="s">
        <v>66</v>
      </c>
      <c r="C274" s="458" t="s">
        <v>566</v>
      </c>
      <c r="D274" s="458"/>
      <c r="E274" s="458"/>
      <c r="F274" s="458"/>
      <c r="G274" s="208"/>
      <c r="H274" s="174"/>
      <c r="I274" s="706"/>
      <c r="J274" s="478"/>
      <c r="K274" s="479"/>
      <c r="L274" s="480"/>
      <c r="N274" s="287" t="s">
        <v>682</v>
      </c>
      <c r="Q274" s="19" t="s">
        <v>254</v>
      </c>
    </row>
    <row r="275" spans="2:17" ht="39" customHeight="1" x14ac:dyDescent="0.15">
      <c r="B275" s="211" t="s">
        <v>66</v>
      </c>
      <c r="C275" s="458" t="s">
        <v>625</v>
      </c>
      <c r="D275" s="458"/>
      <c r="E275" s="458"/>
      <c r="F275" s="458"/>
      <c r="G275" s="208"/>
      <c r="H275" s="174"/>
      <c r="I275" s="706"/>
      <c r="J275" s="478"/>
      <c r="K275" s="479"/>
      <c r="L275" s="480"/>
      <c r="N275" s="287" t="s">
        <v>683</v>
      </c>
      <c r="Q275" s="19" t="s">
        <v>254</v>
      </c>
    </row>
    <row r="276" spans="2:17" ht="39" customHeight="1" x14ac:dyDescent="0.15">
      <c r="B276" s="211" t="s">
        <v>66</v>
      </c>
      <c r="C276" s="458" t="s">
        <v>626</v>
      </c>
      <c r="D276" s="458"/>
      <c r="E276" s="458"/>
      <c r="F276" s="458"/>
      <c r="G276" s="208"/>
      <c r="H276" s="174"/>
      <c r="I276" s="706"/>
      <c r="J276" s="478"/>
      <c r="K276" s="479"/>
      <c r="L276" s="480"/>
      <c r="N276" s="287" t="s">
        <v>727</v>
      </c>
      <c r="Q276" s="19" t="s">
        <v>254</v>
      </c>
    </row>
    <row r="277" spans="2:17" ht="53" customHeight="1" x14ac:dyDescent="0.15">
      <c r="B277" s="211" t="s">
        <v>66</v>
      </c>
      <c r="C277" s="458" t="s">
        <v>497</v>
      </c>
      <c r="D277" s="458"/>
      <c r="E277" s="458"/>
      <c r="F277" s="458"/>
      <c r="G277" s="208"/>
      <c r="H277" s="174"/>
      <c r="I277" s="706"/>
      <c r="J277" s="478"/>
      <c r="K277" s="479"/>
      <c r="L277" s="480"/>
      <c r="N277" s="287" t="s">
        <v>684</v>
      </c>
      <c r="Q277" s="19" t="s">
        <v>254</v>
      </c>
    </row>
    <row r="278" spans="2:17" ht="53" customHeight="1" x14ac:dyDescent="0.15">
      <c r="B278" s="211" t="s">
        <v>66</v>
      </c>
      <c r="C278" s="458" t="s">
        <v>627</v>
      </c>
      <c r="D278" s="458"/>
      <c r="E278" s="458"/>
      <c r="F278" s="458"/>
      <c r="G278" s="208"/>
      <c r="H278" s="185"/>
      <c r="I278" s="706"/>
      <c r="J278" s="478"/>
      <c r="K278" s="479"/>
      <c r="L278" s="480"/>
      <c r="N278" s="287" t="s">
        <v>685</v>
      </c>
      <c r="Q278" s="19" t="s">
        <v>254</v>
      </c>
    </row>
    <row r="279" spans="2:17" ht="53" customHeight="1" x14ac:dyDescent="0.15">
      <c r="B279" s="211" t="s">
        <v>66</v>
      </c>
      <c r="C279" s="458" t="s">
        <v>498</v>
      </c>
      <c r="D279" s="458"/>
      <c r="E279" s="458"/>
      <c r="F279" s="458"/>
      <c r="G279" s="208"/>
      <c r="H279" s="252"/>
      <c r="I279" s="707"/>
      <c r="J279" s="478"/>
      <c r="K279" s="479"/>
      <c r="L279" s="480"/>
      <c r="N279" s="287" t="s">
        <v>722</v>
      </c>
      <c r="Q279" s="19" t="s">
        <v>254</v>
      </c>
    </row>
    <row r="280" spans="2:17" ht="53" customHeight="1" x14ac:dyDescent="0.15">
      <c r="B280" s="201" t="s">
        <v>67</v>
      </c>
      <c r="C280" s="458" t="s">
        <v>446</v>
      </c>
      <c r="D280" s="458"/>
      <c r="E280" s="458"/>
      <c r="F280" s="458"/>
      <c r="G280" s="208"/>
      <c r="H280" s="174"/>
      <c r="I280" s="705" t="str">
        <f>IF($B$2="PRELIMINARY SITE VISIT REPORT FINDINGS","Reviewed the the requirements for graduations 
Plan to make information known to students", "Reviewed requirements for graduation"&amp;" 
Verified with students &amp; graduates")</f>
        <v>Reviewed requirements for graduation 
Verified with students &amp; graduates</v>
      </c>
      <c r="J280" s="478"/>
      <c r="K280" s="479"/>
      <c r="L280" s="480"/>
      <c r="N280" s="287" t="s">
        <v>736</v>
      </c>
      <c r="Q280" s="19" t="s">
        <v>255</v>
      </c>
    </row>
    <row r="281" spans="2:17" ht="53" customHeight="1" x14ac:dyDescent="0.15">
      <c r="B281" s="201" t="s">
        <v>67</v>
      </c>
      <c r="C281" s="458" t="s">
        <v>78</v>
      </c>
      <c r="D281" s="458"/>
      <c r="E281" s="458"/>
      <c r="F281" s="458"/>
      <c r="G281" s="208"/>
      <c r="H281" s="174"/>
      <c r="I281" s="706"/>
      <c r="J281" s="478"/>
      <c r="K281" s="479"/>
      <c r="L281" s="480"/>
      <c r="N281" s="287" t="s">
        <v>686</v>
      </c>
      <c r="Q281" s="19" t="s">
        <v>255</v>
      </c>
    </row>
    <row r="282" spans="2:17" ht="53" customHeight="1" x14ac:dyDescent="0.15">
      <c r="B282" s="201" t="s">
        <v>67</v>
      </c>
      <c r="C282" s="458" t="s">
        <v>499</v>
      </c>
      <c r="D282" s="458"/>
      <c r="E282" s="458"/>
      <c r="F282" s="458"/>
      <c r="G282" s="208"/>
      <c r="H282" s="174"/>
      <c r="I282" s="706"/>
      <c r="J282" s="478"/>
      <c r="K282" s="479"/>
      <c r="L282" s="480"/>
      <c r="N282" s="287" t="s">
        <v>687</v>
      </c>
      <c r="Q282" s="19" t="s">
        <v>255</v>
      </c>
    </row>
    <row r="283" spans="2:17" ht="53" customHeight="1" x14ac:dyDescent="0.15">
      <c r="B283" s="484" t="s">
        <v>67</v>
      </c>
      <c r="C283" s="458" t="s">
        <v>204</v>
      </c>
      <c r="D283" s="458"/>
      <c r="E283" s="458"/>
      <c r="F283" s="458"/>
      <c r="G283" s="492"/>
      <c r="H283" s="416"/>
      <c r="I283" s="706"/>
      <c r="J283" s="459"/>
      <c r="K283" s="460"/>
      <c r="L283" s="461"/>
      <c r="N283" s="481" t="s">
        <v>737</v>
      </c>
      <c r="Q283" s="19" t="s">
        <v>255</v>
      </c>
    </row>
    <row r="284" spans="2:17" ht="53" customHeight="1" x14ac:dyDescent="0.15">
      <c r="B284" s="485"/>
      <c r="C284" s="458"/>
      <c r="D284" s="458"/>
      <c r="E284" s="458"/>
      <c r="F284" s="458"/>
      <c r="G284" s="493"/>
      <c r="H284" s="417"/>
      <c r="I284" s="706"/>
      <c r="J284" s="464"/>
      <c r="K284" s="465"/>
      <c r="L284" s="466"/>
      <c r="N284" s="481"/>
      <c r="Q284" s="19" t="s">
        <v>255</v>
      </c>
    </row>
    <row r="285" spans="2:17" ht="53" customHeight="1" x14ac:dyDescent="0.15">
      <c r="B285" s="454" t="s">
        <v>67</v>
      </c>
      <c r="C285" s="425" t="s">
        <v>794</v>
      </c>
      <c r="D285" s="426"/>
      <c r="E285" s="426"/>
      <c r="F285" s="427"/>
      <c r="G285" s="208"/>
      <c r="H285" s="185"/>
      <c r="I285" s="707"/>
      <c r="J285" s="478"/>
      <c r="K285" s="479"/>
      <c r="L285" s="480"/>
      <c r="N285" s="287" t="s">
        <v>688</v>
      </c>
      <c r="Q285" s="19" t="s">
        <v>255</v>
      </c>
    </row>
    <row r="286" spans="2:17" ht="55.5" customHeight="1" x14ac:dyDescent="0.15">
      <c r="B286" s="455"/>
      <c r="C286" s="428"/>
      <c r="D286" s="429"/>
      <c r="E286" s="429"/>
      <c r="F286" s="430"/>
      <c r="G286" s="206" t="str">
        <f>IF(AND(H286="      Same State Satellite Location(s)",J286&lt;&gt;""), "Not Met",IF(AND(H286="      Same State Satellite Location(s)",J286=""),"Met","N/A"))</f>
        <v>N/A</v>
      </c>
      <c r="H286" s="423" t="str">
        <f>IF('Satellite(s)'!$H$6&lt;&gt;"N/A","      Same state satellite location(s)","      No same state satellite location(s)")</f>
        <v xml:space="preserve">      No same state satellite location(s)</v>
      </c>
      <c r="I286" s="424"/>
      <c r="J286" s="420" t="str" cm="1">
        <f t="array" ref="J286">_xlfn.TEXTJOIN("
",TRUE,IF('Satellite(s)'!F26:L26="Not Met",'Satellite(s)'!F27:L27,""))</f>
        <v/>
      </c>
      <c r="K286" s="421"/>
      <c r="L286" s="422"/>
      <c r="Q286" s="69" t="s">
        <v>610</v>
      </c>
    </row>
    <row r="287" spans="2:17" ht="55.5" customHeight="1" x14ac:dyDescent="0.15">
      <c r="B287" s="455"/>
      <c r="C287" s="428"/>
      <c r="D287" s="429"/>
      <c r="E287" s="429"/>
      <c r="F287" s="430"/>
      <c r="G287" s="206" t="str">
        <f>IF(AND(H287="      Out-of-state satellite location(s)",J287&lt;&gt;""), "Not Met",IF(AND(H287="      Out-of-state satellite location(s)",J287=""),"Met","N/A"))</f>
        <v>N/A</v>
      </c>
      <c r="H287" s="423" t="str">
        <f>IF('Satellite(s)'!$H$7&lt;&gt;"N/A","      Out-of-state satellite location(s)","      No out-of-state satellite location(s)")</f>
        <v xml:space="preserve">      No out-of-state satellite location(s)</v>
      </c>
      <c r="I287" s="424"/>
      <c r="J287" s="420" t="str" cm="1">
        <f t="array" ref="J287">_xlfn.TEXTJOIN("
",TRUE,IF('Satellite(s)'!F70:L70="Not Met",'Satellite(s)'!F71:L71,""))</f>
        <v/>
      </c>
      <c r="K287" s="421"/>
      <c r="L287" s="422"/>
      <c r="Q287" s="69" t="s">
        <v>611</v>
      </c>
    </row>
    <row r="288" spans="2:17" ht="55.5" customHeight="1" x14ac:dyDescent="0.15">
      <c r="B288" s="456"/>
      <c r="C288" s="431"/>
      <c r="D288" s="432"/>
      <c r="E288" s="432"/>
      <c r="F288" s="433"/>
      <c r="G288" s="206" t="str">
        <f>IF(AND(H288="      Not Approved Satellite Location(s)",J288&lt;&gt;""), "Not Met",IF(AND(H288="      Not Approved Satellite Location(s)",J288=""),"Met","N/A"))</f>
        <v>N/A</v>
      </c>
      <c r="H288" s="423" t="str">
        <f>IF('Satellite(s)'!$H$8&lt;&gt;"","      Not approved satellite location(s)","      No unapproved satellite location(s)")</f>
        <v xml:space="preserve">      No unapproved satellite location(s)</v>
      </c>
      <c r="I288" s="424"/>
      <c r="J288" s="420" t="str" cm="1">
        <f t="array" ref="J288">_xlfn.TEXTJOIN("
",TRUE,IF('Satellite(s)'!F114:L114="Not Met",'Satellite(s)'!F115:L115,""))</f>
        <v/>
      </c>
      <c r="K288" s="421"/>
      <c r="L288" s="422"/>
      <c r="Q288" s="69" t="s">
        <v>612</v>
      </c>
    </row>
    <row r="289" spans="2:17" ht="79.5" customHeight="1" x14ac:dyDescent="0.15">
      <c r="B289" s="201" t="s">
        <v>160</v>
      </c>
      <c r="C289" s="458" t="s">
        <v>161</v>
      </c>
      <c r="D289" s="458"/>
      <c r="E289" s="458"/>
      <c r="F289" s="458"/>
      <c r="G289" s="208"/>
      <c r="H289" s="174"/>
      <c r="I289" s="180" t="str">
        <f>IF($B$2="PRELIMINARY SITE VISIT REPORT FINDINGS","N/A - Seeking the Letter of Review 
Educate the program about publishing the outcomes each year based on the Annual Report", "Validated outcomes in the Annual Report match outcomes posted on the program sponsor's website")</f>
        <v>Validated outcomes in the Annual Report match outcomes posted on the program sponsor's website</v>
      </c>
      <c r="J289" s="478"/>
      <c r="K289" s="479"/>
      <c r="L289" s="480"/>
      <c r="N289" s="287" t="s">
        <v>689</v>
      </c>
      <c r="Q289" s="19" t="s">
        <v>256</v>
      </c>
    </row>
    <row r="290" spans="2:17" ht="20.25" customHeight="1" x14ac:dyDescent="0.15">
      <c r="B290" s="494" t="s">
        <v>162</v>
      </c>
      <c r="C290" s="495"/>
      <c r="D290" s="495"/>
      <c r="E290" s="495"/>
      <c r="F290" s="495"/>
      <c r="G290" s="495"/>
      <c r="H290" s="495"/>
      <c r="I290" s="495"/>
      <c r="J290" s="495"/>
      <c r="K290" s="495"/>
      <c r="L290" s="496"/>
    </row>
    <row r="291" spans="2:17" ht="26.25" customHeight="1" x14ac:dyDescent="0.15">
      <c r="B291" s="484" t="s">
        <v>68</v>
      </c>
      <c r="C291" s="458" t="s">
        <v>564</v>
      </c>
      <c r="D291" s="458"/>
      <c r="E291" s="458"/>
      <c r="F291" s="458"/>
      <c r="G291" s="437"/>
      <c r="H291" s="182"/>
      <c r="I291" s="180" t="s">
        <v>431</v>
      </c>
      <c r="J291" s="459"/>
      <c r="K291" s="460"/>
      <c r="L291" s="461"/>
      <c r="N291" s="481" t="s">
        <v>690</v>
      </c>
      <c r="Q291" s="19" t="s">
        <v>192</v>
      </c>
    </row>
    <row r="292" spans="2:17" ht="29.25" customHeight="1" x14ac:dyDescent="0.15">
      <c r="B292" s="505"/>
      <c r="C292" s="458"/>
      <c r="D292" s="458"/>
      <c r="E292" s="458"/>
      <c r="F292" s="458"/>
      <c r="G292" s="438"/>
      <c r="H292" s="174"/>
      <c r="I292" s="180" t="s">
        <v>432</v>
      </c>
      <c r="J292" s="462"/>
      <c r="K292" s="447"/>
      <c r="L292" s="463"/>
      <c r="N292" s="481"/>
    </row>
    <row r="293" spans="2:17" ht="25.5" customHeight="1" x14ac:dyDescent="0.15">
      <c r="B293" s="485"/>
      <c r="C293" s="458"/>
      <c r="D293" s="458"/>
      <c r="E293" s="458"/>
      <c r="F293" s="458"/>
      <c r="G293" s="438"/>
      <c r="H293" s="185"/>
      <c r="I293" s="186" t="s">
        <v>433</v>
      </c>
      <c r="J293" s="464"/>
      <c r="K293" s="465"/>
      <c r="L293" s="466"/>
      <c r="N293" s="481"/>
    </row>
    <row r="294" spans="2:17" ht="29.25" customHeight="1" x14ac:dyDescent="0.15">
      <c r="B294" s="484" t="s">
        <v>68</v>
      </c>
      <c r="C294" s="458" t="s">
        <v>69</v>
      </c>
      <c r="D294" s="458"/>
      <c r="E294" s="458"/>
      <c r="F294" s="458"/>
      <c r="G294" s="492"/>
      <c r="H294" s="182"/>
      <c r="I294" s="187" t="s">
        <v>434</v>
      </c>
      <c r="J294" s="459"/>
      <c r="K294" s="460"/>
      <c r="L294" s="461"/>
      <c r="N294" s="481" t="s">
        <v>691</v>
      </c>
      <c r="Q294" s="19" t="s">
        <v>192</v>
      </c>
    </row>
    <row r="295" spans="2:17" ht="30" customHeight="1" x14ac:dyDescent="0.15">
      <c r="B295" s="485"/>
      <c r="C295" s="458"/>
      <c r="D295" s="458"/>
      <c r="E295" s="458"/>
      <c r="F295" s="458"/>
      <c r="G295" s="493"/>
      <c r="H295" s="174"/>
      <c r="I295" s="180" t="s">
        <v>435</v>
      </c>
      <c r="J295" s="464"/>
      <c r="K295" s="465"/>
      <c r="L295" s="466"/>
      <c r="N295" s="481"/>
    </row>
    <row r="296" spans="2:17" ht="18.75" customHeight="1" x14ac:dyDescent="0.15">
      <c r="B296" s="484" t="s">
        <v>68</v>
      </c>
      <c r="C296" s="458" t="s">
        <v>163</v>
      </c>
      <c r="D296" s="458"/>
      <c r="E296" s="458"/>
      <c r="F296" s="458"/>
      <c r="G296" s="492"/>
      <c r="H296" s="416"/>
      <c r="I296" s="500" t="s">
        <v>367</v>
      </c>
      <c r="J296" s="459"/>
      <c r="K296" s="460"/>
      <c r="L296" s="461"/>
      <c r="N296" s="481" t="s">
        <v>696</v>
      </c>
      <c r="Q296" s="19" t="s">
        <v>192</v>
      </c>
    </row>
    <row r="297" spans="2:17" ht="28.5" customHeight="1" x14ac:dyDescent="0.15">
      <c r="B297" s="485"/>
      <c r="C297" s="458"/>
      <c r="D297" s="458"/>
      <c r="E297" s="458"/>
      <c r="F297" s="458"/>
      <c r="G297" s="493"/>
      <c r="H297" s="417"/>
      <c r="I297" s="501"/>
      <c r="J297" s="464"/>
      <c r="K297" s="465"/>
      <c r="L297" s="466"/>
      <c r="N297" s="481"/>
    </row>
    <row r="298" spans="2:17" ht="18" x14ac:dyDescent="0.15">
      <c r="B298" s="494" t="s">
        <v>70</v>
      </c>
      <c r="C298" s="495"/>
      <c r="D298" s="495"/>
      <c r="E298" s="495"/>
      <c r="F298" s="495"/>
      <c r="G298" s="495"/>
      <c r="H298" s="495"/>
      <c r="I298" s="495"/>
      <c r="J298" s="495"/>
      <c r="K298" s="495"/>
      <c r="L298" s="496"/>
    </row>
    <row r="299" spans="2:17" ht="104.25" customHeight="1" x14ac:dyDescent="0.15">
      <c r="B299" s="484" t="s">
        <v>71</v>
      </c>
      <c r="C299" s="458" t="s">
        <v>562</v>
      </c>
      <c r="D299" s="458"/>
      <c r="E299" s="458"/>
      <c r="F299" s="458"/>
      <c r="G299" s="560"/>
      <c r="H299" s="174"/>
      <c r="I299" s="176" t="s">
        <v>563</v>
      </c>
      <c r="J299" s="459"/>
      <c r="K299" s="460"/>
      <c r="L299" s="461"/>
      <c r="N299" s="481" t="s">
        <v>723</v>
      </c>
      <c r="Q299" s="19" t="s">
        <v>193</v>
      </c>
    </row>
    <row r="300" spans="2:17" ht="47" customHeight="1" x14ac:dyDescent="0.15">
      <c r="B300" s="505"/>
      <c r="C300" s="458"/>
      <c r="D300" s="458"/>
      <c r="E300" s="458"/>
      <c r="F300" s="458"/>
      <c r="G300" s="561"/>
      <c r="H300" s="174"/>
      <c r="I300" s="177" t="s">
        <v>561</v>
      </c>
      <c r="J300" s="464"/>
      <c r="K300" s="465"/>
      <c r="L300" s="466"/>
      <c r="N300" s="481"/>
    </row>
    <row r="301" spans="2:17" ht="114" customHeight="1" x14ac:dyDescent="0.15">
      <c r="B301" s="211" t="s">
        <v>71</v>
      </c>
      <c r="C301" s="458" t="s">
        <v>72</v>
      </c>
      <c r="D301" s="458"/>
      <c r="E301" s="458"/>
      <c r="F301" s="458"/>
      <c r="G301" s="205"/>
      <c r="H301" s="174"/>
      <c r="I301" s="175" t="s">
        <v>560</v>
      </c>
      <c r="J301" s="478"/>
      <c r="K301" s="479"/>
      <c r="L301" s="480"/>
      <c r="N301" s="287" t="s">
        <v>738</v>
      </c>
      <c r="Q301" s="19" t="s">
        <v>193</v>
      </c>
    </row>
    <row r="302" spans="2:17" ht="18" x14ac:dyDescent="0.15">
      <c r="B302" s="494" t="s">
        <v>73</v>
      </c>
      <c r="C302" s="515"/>
      <c r="D302" s="515"/>
      <c r="E302" s="515"/>
      <c r="F302" s="515"/>
      <c r="G302" s="515"/>
      <c r="H302" s="515"/>
      <c r="I302" s="515"/>
      <c r="J302" s="495"/>
      <c r="K302" s="495"/>
      <c r="L302" s="496"/>
    </row>
    <row r="303" spans="2:17" ht="45.75" customHeight="1" x14ac:dyDescent="0.15">
      <c r="B303" s="484" t="s">
        <v>74</v>
      </c>
      <c r="C303" s="458" t="s">
        <v>447</v>
      </c>
      <c r="D303" s="458"/>
      <c r="E303" s="458"/>
      <c r="F303" s="458"/>
      <c r="G303" s="437"/>
      <c r="H303" s="416"/>
      <c r="I303" s="497" t="s">
        <v>559</v>
      </c>
      <c r="J303" s="486"/>
      <c r="K303" s="487"/>
      <c r="L303" s="488"/>
      <c r="N303" s="283" t="s">
        <v>768</v>
      </c>
      <c r="Q303" s="19" t="s">
        <v>194</v>
      </c>
    </row>
    <row r="304" spans="2:17" ht="34" customHeight="1" x14ac:dyDescent="0.15">
      <c r="B304" s="456"/>
      <c r="C304" s="458"/>
      <c r="D304" s="458"/>
      <c r="E304" s="458"/>
      <c r="F304" s="458"/>
      <c r="G304" s="439"/>
      <c r="H304" s="417"/>
      <c r="I304" s="498"/>
      <c r="J304" s="489"/>
      <c r="K304" s="490"/>
      <c r="L304" s="491"/>
      <c r="N304" s="291" t="s">
        <v>780</v>
      </c>
      <c r="Q304" s="19" t="s">
        <v>194</v>
      </c>
    </row>
    <row r="305" spans="2:17" ht="34" customHeight="1" x14ac:dyDescent="0.15">
      <c r="B305" s="211" t="s">
        <v>74</v>
      </c>
      <c r="C305" s="502" t="s">
        <v>75</v>
      </c>
      <c r="D305" s="503"/>
      <c r="E305" s="503"/>
      <c r="F305" s="504"/>
      <c r="G305" s="202"/>
      <c r="H305" s="252"/>
      <c r="I305" s="498"/>
      <c r="J305" s="478"/>
      <c r="K305" s="479"/>
      <c r="L305" s="480"/>
      <c r="N305" s="287" t="s">
        <v>764</v>
      </c>
      <c r="Q305" s="19" t="s">
        <v>194</v>
      </c>
    </row>
    <row r="306" spans="2:17" ht="34" customHeight="1" x14ac:dyDescent="0.15">
      <c r="B306" s="211" t="s">
        <v>74</v>
      </c>
      <c r="C306" s="502" t="s">
        <v>76</v>
      </c>
      <c r="D306" s="503"/>
      <c r="E306" s="503"/>
      <c r="F306" s="504"/>
      <c r="G306" s="202"/>
      <c r="H306" s="174"/>
      <c r="I306" s="498"/>
      <c r="J306" s="478"/>
      <c r="K306" s="479"/>
      <c r="L306" s="480"/>
      <c r="N306" s="287" t="s">
        <v>692</v>
      </c>
      <c r="Q306" s="19" t="s">
        <v>194</v>
      </c>
    </row>
    <row r="307" spans="2:17" ht="34" customHeight="1" x14ac:dyDescent="0.15">
      <c r="B307" s="211" t="s">
        <v>74</v>
      </c>
      <c r="C307" s="502" t="s">
        <v>77</v>
      </c>
      <c r="D307" s="503"/>
      <c r="E307" s="503"/>
      <c r="F307" s="504"/>
      <c r="G307" s="202"/>
      <c r="H307" s="185"/>
      <c r="I307" s="499"/>
      <c r="J307" s="478"/>
      <c r="K307" s="479"/>
      <c r="L307" s="480"/>
      <c r="N307" s="287" t="s">
        <v>693</v>
      </c>
      <c r="Q307" s="19" t="s">
        <v>194</v>
      </c>
    </row>
    <row r="308" spans="2:17" ht="34" customHeight="1" x14ac:dyDescent="0.15">
      <c r="B308" s="454" t="s">
        <v>74</v>
      </c>
      <c r="C308" s="426" t="s">
        <v>558</v>
      </c>
      <c r="D308" s="426"/>
      <c r="E308" s="426"/>
      <c r="F308" s="426"/>
      <c r="G308" s="492"/>
      <c r="H308" s="174"/>
      <c r="I308" s="176" t="s">
        <v>436</v>
      </c>
      <c r="J308" s="459"/>
      <c r="K308" s="460"/>
      <c r="L308" s="461"/>
      <c r="N308" s="481" t="s">
        <v>728</v>
      </c>
      <c r="Q308" s="19" t="s">
        <v>194</v>
      </c>
    </row>
    <row r="309" spans="2:17" ht="34" customHeight="1" x14ac:dyDescent="0.15">
      <c r="B309" s="455"/>
      <c r="C309" s="429"/>
      <c r="D309" s="429"/>
      <c r="E309" s="429"/>
      <c r="F309" s="429"/>
      <c r="G309" s="493"/>
      <c r="H309" s="174"/>
      <c r="I309" s="177" t="s">
        <v>628</v>
      </c>
      <c r="J309" s="464"/>
      <c r="K309" s="465"/>
      <c r="L309" s="466"/>
      <c r="N309" s="481"/>
    </row>
    <row r="310" spans="2:17" ht="55.5" customHeight="1" x14ac:dyDescent="0.15">
      <c r="B310" s="455"/>
      <c r="C310" s="429"/>
      <c r="D310" s="429"/>
      <c r="E310" s="429"/>
      <c r="F310" s="429"/>
      <c r="G310" s="206" t="str">
        <f>IF(AND(H310="      Same State Satellite Location(s)",J310&lt;&gt;""), "Not Met",IF(AND(H310="      Same State Satellite Location(s)",J310=""),"Met","N/A"))</f>
        <v>N/A</v>
      </c>
      <c r="H310" s="423" t="str">
        <f>IF('Satellite(s)'!$H$6&lt;&gt;"N/A","      Same state satellite location(s)","      No same state satellite location(s)")</f>
        <v xml:space="preserve">      No same state satellite location(s)</v>
      </c>
      <c r="I310" s="424"/>
      <c r="J310" s="420" t="str" cm="1">
        <f t="array" ref="J310">_xlfn.TEXTJOIN("
",TRUE,IF('Satellite(s)'!F31:AB31="Not Met",'Satellite(s)'!F32:AB32,""))</f>
        <v/>
      </c>
      <c r="K310" s="421"/>
      <c r="L310" s="422"/>
      <c r="Q310" s="69" t="s">
        <v>613</v>
      </c>
    </row>
    <row r="311" spans="2:17" ht="55.5" customHeight="1" x14ac:dyDescent="0.15">
      <c r="B311" s="455"/>
      <c r="C311" s="429"/>
      <c r="D311" s="429"/>
      <c r="E311" s="429"/>
      <c r="F311" s="429"/>
      <c r="G311" s="206" t="str">
        <f>IF(AND(H311="      Out-of-state satellite location(s)",J311&lt;&gt;""), "Not Met",IF(AND(H311="      Out-of-state satellite location(s)",J311=""),"Met","N/A"))</f>
        <v>N/A</v>
      </c>
      <c r="H311" s="423" t="str">
        <f>IF('Satellite(s)'!$H$7&lt;&gt;"N/A","      Out-of-state satellite location(s)","      No out-of-state satellite location(s)")</f>
        <v xml:space="preserve">      No out-of-state satellite location(s)</v>
      </c>
      <c r="I311" s="424"/>
      <c r="J311" s="420" t="str" cm="1">
        <f t="array" ref="J311">_xlfn.TEXTJOIN("
",TRUE,IF('Satellite(s)'!F75:L75="Not Met",'Satellite(s)'!F76:L76,""))</f>
        <v/>
      </c>
      <c r="K311" s="421"/>
      <c r="L311" s="422"/>
      <c r="Q311" s="69" t="s">
        <v>614</v>
      </c>
    </row>
    <row r="312" spans="2:17" ht="55.5" customHeight="1" x14ac:dyDescent="0.15">
      <c r="B312" s="456"/>
      <c r="C312" s="432"/>
      <c r="D312" s="432"/>
      <c r="E312" s="432"/>
      <c r="F312" s="432"/>
      <c r="G312" s="206" t="str">
        <f>IF(AND(H312="      Not Approved Satellite Location(s)",J312&lt;&gt;""), "Not Met",IF(AND(H312="      Not Approved Satellite Location(s)",J312=""),"Met","N/A"))</f>
        <v>N/A</v>
      </c>
      <c r="H312" s="423" t="str">
        <f>IF('Satellite(s)'!$H$8&lt;&gt;"","      Not approved satellite location(s)","      No unapproved satellite location(s)")</f>
        <v xml:space="preserve">      No unapproved satellite location(s)</v>
      </c>
      <c r="I312" s="424"/>
      <c r="J312" s="420" t="str" cm="1">
        <f t="array" ref="J312">_xlfn.TEXTJOIN("
",TRUE,IF('Satellite(s)'!F119:L119="Not Met",'Satellite(s)'!F120:L120,""))</f>
        <v/>
      </c>
      <c r="K312" s="421"/>
      <c r="L312" s="422"/>
      <c r="Q312" s="69" t="s">
        <v>615</v>
      </c>
    </row>
    <row r="313" spans="2:17" ht="18" x14ac:dyDescent="0.15">
      <c r="B313" s="494" t="s">
        <v>80</v>
      </c>
      <c r="C313" s="515"/>
      <c r="D313" s="515"/>
      <c r="E313" s="515"/>
      <c r="F313" s="515"/>
      <c r="G313" s="515"/>
      <c r="H313" s="515"/>
      <c r="I313" s="515"/>
      <c r="J313" s="495"/>
      <c r="K313" s="495"/>
      <c r="L313" s="496"/>
    </row>
    <row r="314" spans="2:17" ht="41.25" customHeight="1" x14ac:dyDescent="0.15">
      <c r="B314" s="562" t="s">
        <v>81</v>
      </c>
      <c r="C314" s="458" t="s">
        <v>903</v>
      </c>
      <c r="D314" s="458"/>
      <c r="E314" s="458"/>
      <c r="F314" s="458"/>
      <c r="G314" s="437"/>
      <c r="H314" s="470"/>
      <c r="I314" s="467" t="s">
        <v>382</v>
      </c>
      <c r="J314" s="691"/>
      <c r="K314" s="691"/>
      <c r="L314" s="692"/>
      <c r="N314" s="283" t="s">
        <v>755</v>
      </c>
      <c r="Q314" s="19" t="s">
        <v>195</v>
      </c>
    </row>
    <row r="315" spans="2:17" ht="39" customHeight="1" x14ac:dyDescent="0.15">
      <c r="B315" s="563"/>
      <c r="C315" s="458"/>
      <c r="D315" s="458"/>
      <c r="E315" s="458"/>
      <c r="F315" s="458"/>
      <c r="G315" s="438"/>
      <c r="H315" s="470"/>
      <c r="I315" s="469"/>
      <c r="J315" s="693"/>
      <c r="K315" s="694"/>
      <c r="L315" s="695"/>
      <c r="N315" s="410" t="s">
        <v>904</v>
      </c>
      <c r="Q315" s="19" t="s">
        <v>195</v>
      </c>
    </row>
    <row r="316" spans="2:17" ht="39" customHeight="1" x14ac:dyDescent="0.15">
      <c r="B316" s="563"/>
      <c r="C316" s="458"/>
      <c r="D316" s="458"/>
      <c r="E316" s="458"/>
      <c r="F316" s="458"/>
      <c r="G316" s="438"/>
      <c r="H316" s="189"/>
      <c r="I316" s="176" t="s">
        <v>438</v>
      </c>
      <c r="J316" s="693"/>
      <c r="K316" s="694"/>
      <c r="L316" s="695"/>
      <c r="N316" s="410"/>
    </row>
    <row r="317" spans="2:17" ht="47.25" customHeight="1" x14ac:dyDescent="0.15">
      <c r="B317" s="563"/>
      <c r="C317" s="458"/>
      <c r="D317" s="458"/>
      <c r="E317" s="458"/>
      <c r="F317" s="458"/>
      <c r="G317" s="438"/>
      <c r="H317" s="189"/>
      <c r="I317" s="176" t="s">
        <v>437</v>
      </c>
      <c r="J317" s="693"/>
      <c r="K317" s="694"/>
      <c r="L317" s="695"/>
      <c r="N317" s="410"/>
    </row>
    <row r="318" spans="2:17" ht="39" customHeight="1" x14ac:dyDescent="0.15">
      <c r="B318" s="564"/>
      <c r="C318" s="458"/>
      <c r="D318" s="458"/>
      <c r="E318" s="458"/>
      <c r="F318" s="458"/>
      <c r="G318" s="439"/>
      <c r="H318" s="189"/>
      <c r="I318" s="176" t="s">
        <v>381</v>
      </c>
      <c r="J318" s="696"/>
      <c r="K318" s="697"/>
      <c r="L318" s="698"/>
      <c r="N318" s="410"/>
    </row>
    <row r="319" spans="2:17" ht="20.25" customHeight="1" x14ac:dyDescent="0.15">
      <c r="B319" s="494" t="s">
        <v>82</v>
      </c>
      <c r="C319" s="515"/>
      <c r="D319" s="515"/>
      <c r="E319" s="515"/>
      <c r="F319" s="515"/>
      <c r="G319" s="515"/>
      <c r="H319" s="515"/>
      <c r="I319" s="515"/>
      <c r="J319" s="495"/>
      <c r="K319" s="495"/>
      <c r="L319" s="496"/>
    </row>
    <row r="320" spans="2:17" ht="20.25" customHeight="1" x14ac:dyDescent="0.15">
      <c r="B320" s="484" t="s">
        <v>83</v>
      </c>
      <c r="C320" s="458" t="s">
        <v>164</v>
      </c>
      <c r="D320" s="458"/>
      <c r="E320" s="458"/>
      <c r="F320" s="458"/>
      <c r="G320" s="437"/>
      <c r="H320" s="416"/>
      <c r="I320" s="467" t="s">
        <v>439</v>
      </c>
      <c r="J320" s="649"/>
      <c r="K320" s="649"/>
      <c r="L320" s="650"/>
      <c r="N320" s="283" t="s">
        <v>694</v>
      </c>
      <c r="Q320" s="19" t="s">
        <v>196</v>
      </c>
    </row>
    <row r="321" spans="2:105" ht="83.25" customHeight="1" x14ac:dyDescent="0.15">
      <c r="B321" s="456"/>
      <c r="C321" s="458"/>
      <c r="D321" s="458"/>
      <c r="E321" s="458"/>
      <c r="F321" s="458"/>
      <c r="G321" s="439"/>
      <c r="H321" s="417"/>
      <c r="I321" s="469"/>
      <c r="J321" s="653"/>
      <c r="K321" s="654"/>
      <c r="L321" s="655"/>
      <c r="N321" s="291" t="s">
        <v>695</v>
      </c>
      <c r="Q321" s="19" t="s">
        <v>196</v>
      </c>
    </row>
    <row r="322" spans="2:105" s="146" customFormat="1" ht="27" customHeight="1" x14ac:dyDescent="0.15">
      <c r="B322" s="582" t="str">
        <f>IF('Cover Page'!$D$8&lt;&gt;"Please Select",'Cover Page'!$D$8, "Select Program Level on the Cover Page tab")</f>
        <v>Select Program Level on the Cover Page tab</v>
      </c>
      <c r="C322" s="583"/>
      <c r="D322" s="583"/>
      <c r="E322" s="583"/>
      <c r="F322" s="583"/>
      <c r="G322" s="583"/>
      <c r="H322" s="583"/>
      <c r="I322" s="583"/>
      <c r="J322" s="583"/>
      <c r="K322" s="583"/>
      <c r="L322" s="584"/>
      <c r="N322" s="268"/>
      <c r="Q322" s="147"/>
    </row>
    <row r="323" spans="2:105" ht="20.25" customHeight="1" x14ac:dyDescent="0.15">
      <c r="B323" s="688" t="s">
        <v>371</v>
      </c>
      <c r="C323" s="689"/>
      <c r="D323" s="689"/>
      <c r="E323" s="689"/>
      <c r="F323" s="689"/>
      <c r="G323" s="689"/>
      <c r="H323" s="689"/>
      <c r="I323" s="689"/>
      <c r="J323" s="689"/>
      <c r="K323" s="689"/>
      <c r="L323" s="690"/>
    </row>
    <row r="324" spans="2:105" ht="68.25" customHeight="1" x14ac:dyDescent="0.15">
      <c r="B324" s="658" t="s">
        <v>739</v>
      </c>
      <c r="C324" s="664"/>
      <c r="D324" s="664"/>
      <c r="E324" s="664"/>
      <c r="F324" s="665"/>
      <c r="G324" s="213" t="s">
        <v>100</v>
      </c>
      <c r="H324" s="73"/>
      <c r="I324" s="112" t="s">
        <v>100</v>
      </c>
      <c r="J324" s="112">
        <v>1</v>
      </c>
      <c r="K324" s="112">
        <v>2</v>
      </c>
      <c r="L324" s="112">
        <v>3</v>
      </c>
      <c r="M324" s="113">
        <v>4</v>
      </c>
      <c r="N324" s="271">
        <v>5</v>
      </c>
      <c r="O324" s="113">
        <v>6</v>
      </c>
      <c r="P324" s="113">
        <v>7</v>
      </c>
      <c r="Q324" s="110"/>
      <c r="R324" s="110">
        <v>9</v>
      </c>
      <c r="S324" s="110">
        <v>10</v>
      </c>
      <c r="T324" s="110">
        <v>11</v>
      </c>
      <c r="U324" s="110">
        <v>12</v>
      </c>
    </row>
    <row r="325" spans="2:105" ht="66.75" customHeight="1" x14ac:dyDescent="0.15">
      <c r="B325" s="658" t="s">
        <v>740</v>
      </c>
      <c r="C325" s="659"/>
      <c r="D325" s="659"/>
      <c r="E325" s="659"/>
      <c r="F325" s="660"/>
      <c r="G325" s="213" t="s">
        <v>100</v>
      </c>
      <c r="H325" s="73"/>
      <c r="I325" s="112" t="s">
        <v>100</v>
      </c>
      <c r="J325" s="112">
        <v>1</v>
      </c>
      <c r="K325" s="112">
        <v>2</v>
      </c>
      <c r="L325" s="112">
        <v>3</v>
      </c>
      <c r="M325" s="113">
        <v>4</v>
      </c>
      <c r="N325" s="271">
        <v>5</v>
      </c>
      <c r="O325" s="113">
        <v>6</v>
      </c>
      <c r="P325" s="113">
        <v>7</v>
      </c>
      <c r="Q325" s="110"/>
      <c r="R325" s="110">
        <v>9</v>
      </c>
      <c r="S325" s="110">
        <v>10</v>
      </c>
      <c r="T325" s="110">
        <v>11</v>
      </c>
      <c r="U325" s="110">
        <v>12</v>
      </c>
    </row>
    <row r="326" spans="2:105" ht="53.25" customHeight="1" x14ac:dyDescent="0.15">
      <c r="B326" s="678" t="s">
        <v>741</v>
      </c>
      <c r="C326" s="679"/>
      <c r="D326" s="679"/>
      <c r="E326" s="679"/>
      <c r="F326" s="680"/>
      <c r="G326" s="213" t="s">
        <v>100</v>
      </c>
      <c r="H326" s="116"/>
      <c r="I326" s="117"/>
      <c r="J326" s="115"/>
      <c r="K326" s="116"/>
      <c r="L326" s="116"/>
    </row>
    <row r="327" spans="2:105" s="195" customFormat="1" ht="34.75" customHeight="1" x14ac:dyDescent="0.15">
      <c r="B327" s="683" t="str">
        <f>IF(G326&lt;&gt;"N/A", "Number of satellite locations not approved:","")</f>
        <v/>
      </c>
      <c r="C327" s="683"/>
      <c r="D327" s="683"/>
      <c r="E327" s="683"/>
      <c r="F327" s="683"/>
      <c r="G327" s="247"/>
      <c r="H327" s="214"/>
      <c r="I327" s="215"/>
      <c r="J327" s="216"/>
      <c r="K327" s="214"/>
      <c r="L327" s="214"/>
      <c r="N327" s="232"/>
      <c r="Q327" s="196"/>
    </row>
    <row r="328" spans="2:105" s="195" customFormat="1" x14ac:dyDescent="0.15">
      <c r="N328" s="232"/>
      <c r="Q328" s="196"/>
    </row>
    <row r="329" spans="2:105" ht="20.25" customHeight="1" x14ac:dyDescent="0.15">
      <c r="B329" s="699" t="str">
        <f>IF(AND('Satellite(s)'!M4&gt;0, B332&lt;&gt;""),"Complete the Consortium Addendum (row 300 below) as well as the Satellite(s) tab",IF(AND('Satellite(s)'!M4&gt;0,B332=""),"Select the Satellite(s) tab to complete the Satellite Addendum",IF(AND('Satellite(s)'!M4=0,B332&lt;&gt;""),"Complete the Consortium Addendum (row 300 below)", "The Site Visit Report is Completed")))</f>
        <v>The Site Visit Report is Completed</v>
      </c>
      <c r="C329" s="699"/>
      <c r="D329" s="699"/>
      <c r="E329" s="699"/>
      <c r="F329" s="699"/>
      <c r="G329" s="699"/>
      <c r="H329" s="699"/>
      <c r="I329" s="699"/>
      <c r="J329" s="699"/>
      <c r="K329" s="699"/>
      <c r="L329" s="699"/>
    </row>
    <row r="332" spans="2:105" ht="25" x14ac:dyDescent="0.15">
      <c r="B332" s="559" t="str">
        <f>IF(LEFT(C11,5)="I.A.5", "Consortium Addendum (site visit checklist)","")</f>
        <v/>
      </c>
      <c r="C332" s="559"/>
      <c r="D332" s="559"/>
      <c r="E332" s="559"/>
      <c r="F332" s="559"/>
      <c r="G332" s="559"/>
      <c r="H332" s="559"/>
      <c r="I332" s="559"/>
      <c r="J332" s="559"/>
      <c r="K332" s="559"/>
      <c r="L332" s="559"/>
    </row>
    <row r="333" spans="2:105" x14ac:dyDescent="0.15">
      <c r="B333" s="146"/>
      <c r="C333" s="146"/>
      <c r="D333" s="146"/>
      <c r="E333" s="146"/>
      <c r="F333" s="146"/>
      <c r="G333" s="146"/>
      <c r="H333" s="146"/>
      <c r="I333" s="146"/>
      <c r="J333" s="146"/>
      <c r="K333" s="146"/>
      <c r="L333" s="146"/>
    </row>
    <row r="334" spans="2:105" s="7" customFormat="1" ht="42.75" customHeight="1" x14ac:dyDescent="0.15">
      <c r="B334" s="676" t="str">
        <f>IF(B332&lt;&gt;"", "Does the consortium name match the name on file with the CoAEMSP?","")</f>
        <v/>
      </c>
      <c r="C334" s="676"/>
      <c r="D334" s="676"/>
      <c r="E334" s="676"/>
      <c r="F334" s="676"/>
      <c r="G334" s="150"/>
      <c r="H334" s="151"/>
      <c r="I334" s="151"/>
      <c r="J334" s="151"/>
      <c r="K334" s="151"/>
      <c r="L334" s="151"/>
      <c r="M334" s="52"/>
      <c r="N334" s="51"/>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c r="CH334" s="52"/>
      <c r="CI334" s="52"/>
      <c r="CJ334" s="52"/>
      <c r="CK334" s="52"/>
      <c r="CL334" s="52"/>
      <c r="CM334" s="52"/>
      <c r="CN334" s="52"/>
      <c r="CO334" s="52"/>
      <c r="CP334" s="52"/>
      <c r="CQ334" s="52"/>
      <c r="CR334" s="52"/>
      <c r="CS334" s="52"/>
      <c r="CT334" s="52"/>
      <c r="CU334" s="52"/>
      <c r="CV334" s="52"/>
      <c r="CW334" s="52"/>
      <c r="CX334" s="52"/>
      <c r="CY334" s="52"/>
      <c r="CZ334" s="52"/>
      <c r="DA334" s="52"/>
    </row>
    <row r="335" spans="2:105" ht="21.75" customHeight="1" x14ac:dyDescent="0.15">
      <c r="B335" s="662" t="str">
        <f>IF(B332&lt;&gt;"", "Consortium Name on file with the CoAEMSP:","")</f>
        <v/>
      </c>
      <c r="C335" s="662"/>
      <c r="D335" s="662"/>
      <c r="E335" s="662"/>
      <c r="F335" s="663" t="str">
        <f>IF(B332&lt;&gt;"",'Cover Page'!D12, "")</f>
        <v/>
      </c>
      <c r="G335" s="663"/>
      <c r="H335" s="663"/>
      <c r="I335" s="663"/>
      <c r="J335" s="663"/>
      <c r="K335" s="663"/>
      <c r="L335" s="146"/>
    </row>
    <row r="336" spans="2:105" x14ac:dyDescent="0.15">
      <c r="B336" s="146"/>
      <c r="C336" s="146"/>
      <c r="D336" s="146"/>
      <c r="E336" s="146"/>
      <c r="F336" s="146"/>
      <c r="G336" s="146"/>
      <c r="H336" s="146"/>
      <c r="I336" s="146"/>
      <c r="J336" s="146"/>
      <c r="K336" s="146"/>
      <c r="L336" s="146"/>
    </row>
    <row r="337" spans="2:16" ht="21.75" customHeight="1" x14ac:dyDescent="0.15">
      <c r="B337" s="662" t="str">
        <f>IF(G334="No", "Consortium Name Program Uses:","")</f>
        <v/>
      </c>
      <c r="C337" s="662"/>
      <c r="D337" s="662"/>
      <c r="E337" s="662"/>
      <c r="F337" s="645"/>
      <c r="G337" s="645"/>
      <c r="H337" s="645"/>
      <c r="I337" s="645"/>
      <c r="J337" s="645"/>
      <c r="K337" s="645"/>
      <c r="L337" s="146"/>
      <c r="P337" s="51"/>
    </row>
    <row r="338" spans="2:16" x14ac:dyDescent="0.15">
      <c r="B338" s="146"/>
      <c r="C338" s="146"/>
      <c r="D338" s="146"/>
      <c r="E338" s="146"/>
      <c r="F338" s="146"/>
      <c r="G338" s="146"/>
      <c r="H338" s="146"/>
      <c r="I338" s="146"/>
      <c r="J338" s="146"/>
      <c r="K338" s="146"/>
      <c r="L338" s="146"/>
    </row>
    <row r="339" spans="2:16" x14ac:dyDescent="0.15">
      <c r="B339" s="146"/>
      <c r="C339" s="146"/>
      <c r="D339" s="146"/>
      <c r="E339" s="146"/>
      <c r="F339" s="146"/>
      <c r="G339" s="146"/>
      <c r="H339" s="146"/>
      <c r="I339" s="146"/>
      <c r="J339" s="146"/>
      <c r="K339" s="146"/>
      <c r="L339" s="146"/>
    </row>
    <row r="340" spans="2:16" ht="30.75" customHeight="1" x14ac:dyDescent="0.15">
      <c r="B340" s="685" t="str">
        <f>IF(B332&lt;&gt;"", "List the member organizations of the consortium.  Indicate whether or not each member organization meets Standard I.A. (either paragraph 1,2,3,4,).","")</f>
        <v/>
      </c>
      <c r="C340" s="685"/>
      <c r="D340" s="685"/>
      <c r="E340" s="685"/>
      <c r="F340" s="685"/>
      <c r="G340" s="685"/>
      <c r="H340" s="685"/>
      <c r="I340" s="685"/>
      <c r="J340" s="685"/>
      <c r="K340" s="685"/>
      <c r="L340" s="685"/>
    </row>
    <row r="341" spans="2:16" ht="19.5" customHeight="1" x14ac:dyDescent="0.15">
      <c r="B341" s="146"/>
      <c r="C341" s="646" t="str">
        <f>IF(B332&lt;&gt;"", "          Member Organizations","")</f>
        <v/>
      </c>
      <c r="D341" s="646"/>
      <c r="E341" s="646"/>
      <c r="F341" s="646"/>
      <c r="G341" s="646"/>
      <c r="H341" s="646"/>
      <c r="I341" s="646"/>
      <c r="J341" s="152"/>
      <c r="K341" s="153" t="str">
        <f>IF(B332&lt;&gt;"", "Meets Standard I.A","")</f>
        <v/>
      </c>
      <c r="L341" s="146"/>
    </row>
    <row r="342" spans="2:16" ht="20.25" customHeight="1" x14ac:dyDescent="0.15">
      <c r="B342" s="154" t="str">
        <f>IF(B332&lt;&gt;"", "1)  ","")</f>
        <v/>
      </c>
      <c r="C342" s="645"/>
      <c r="D342" s="645"/>
      <c r="E342" s="645"/>
      <c r="F342" s="645"/>
      <c r="G342" s="645"/>
      <c r="H342" s="645"/>
      <c r="I342" s="645"/>
      <c r="J342" s="146"/>
      <c r="K342" s="150"/>
      <c r="L342" s="146"/>
    </row>
    <row r="343" spans="2:16" ht="20.25" customHeight="1" x14ac:dyDescent="0.15">
      <c r="B343" s="154" t="str">
        <f>IF(B332&lt;&gt;"", "2)  ","")</f>
        <v/>
      </c>
      <c r="C343" s="645"/>
      <c r="D343" s="645"/>
      <c r="E343" s="645"/>
      <c r="F343" s="645"/>
      <c r="G343" s="645"/>
      <c r="H343" s="645"/>
      <c r="I343" s="645"/>
      <c r="J343" s="146"/>
      <c r="K343" s="150"/>
      <c r="L343" s="146"/>
    </row>
    <row r="344" spans="2:16" ht="20.25" customHeight="1" x14ac:dyDescent="0.15">
      <c r="B344" s="154" t="str">
        <f>IF(B332&lt;&gt;"", "3)  ","")</f>
        <v/>
      </c>
      <c r="C344" s="645"/>
      <c r="D344" s="645"/>
      <c r="E344" s="645"/>
      <c r="F344" s="645"/>
      <c r="G344" s="645"/>
      <c r="H344" s="645"/>
      <c r="I344" s="645"/>
      <c r="J344" s="146"/>
      <c r="K344" s="150"/>
      <c r="L344" s="146"/>
    </row>
    <row r="345" spans="2:16" x14ac:dyDescent="0.15">
      <c r="B345" s="154"/>
      <c r="C345" s="146"/>
      <c r="D345" s="146"/>
      <c r="E345" s="146"/>
      <c r="F345" s="146"/>
      <c r="G345" s="146"/>
      <c r="H345" s="146"/>
      <c r="I345" s="146"/>
      <c r="J345" s="146"/>
      <c r="K345" s="146"/>
      <c r="L345" s="146"/>
    </row>
    <row r="346" spans="2:16" x14ac:dyDescent="0.15">
      <c r="B346" s="146"/>
      <c r="C346" s="146"/>
      <c r="D346" s="146"/>
      <c r="E346" s="146"/>
      <c r="F346" s="146"/>
      <c r="G346" s="146"/>
      <c r="H346" s="146"/>
      <c r="I346" s="146"/>
      <c r="J346" s="146"/>
      <c r="K346" s="146"/>
      <c r="L346" s="146"/>
    </row>
    <row r="347" spans="2:16" x14ac:dyDescent="0.15">
      <c r="B347" s="146"/>
      <c r="C347" s="146"/>
      <c r="D347" s="146"/>
      <c r="E347" s="146"/>
      <c r="F347" s="146"/>
      <c r="G347" s="146"/>
      <c r="H347" s="146"/>
      <c r="I347" s="146"/>
      <c r="J347" s="146"/>
      <c r="K347" s="146"/>
      <c r="L347" s="146"/>
    </row>
    <row r="348" spans="2:16" ht="25.5" customHeight="1" x14ac:dyDescent="0.15">
      <c r="B348" s="661" t="str">
        <f>IF(B332&lt;&gt;"", "Decision Making Board / Governing Committee","")</f>
        <v/>
      </c>
      <c r="C348" s="661"/>
      <c r="D348" s="661"/>
      <c r="E348" s="661"/>
      <c r="F348" s="661"/>
      <c r="G348" s="661"/>
      <c r="H348" s="661"/>
      <c r="I348" s="661"/>
      <c r="J348" s="661"/>
      <c r="K348" s="661"/>
      <c r="L348" s="661"/>
    </row>
    <row r="349" spans="2:16" ht="25.5" customHeight="1" x14ac:dyDescent="0.15">
      <c r="B349" s="155"/>
      <c r="C349" s="684" t="str">
        <f>IF(B332&lt;&gt;"", "Name / Title","")</f>
        <v/>
      </c>
      <c r="D349" s="684"/>
      <c r="E349" s="684"/>
      <c r="F349" s="684"/>
      <c r="G349" s="684"/>
      <c r="H349" s="684"/>
      <c r="I349" s="684" t="str">
        <f>IF(B332&lt;&gt;"", "Member Organization Represented","")</f>
        <v/>
      </c>
      <c r="J349" s="684"/>
      <c r="K349" s="684"/>
      <c r="L349" s="684"/>
    </row>
    <row r="350" spans="2:16" ht="18.75" customHeight="1" x14ac:dyDescent="0.15">
      <c r="B350" s="156" t="str">
        <f>IF(B332&lt;&gt;"", "CEO/Chair:","")</f>
        <v/>
      </c>
      <c r="C350" s="681"/>
      <c r="D350" s="681"/>
      <c r="E350" s="681"/>
      <c r="F350" s="681"/>
      <c r="G350" s="681"/>
      <c r="H350" s="681"/>
      <c r="I350" s="645"/>
      <c r="J350" s="645"/>
      <c r="K350" s="645"/>
      <c r="L350" s="645"/>
    </row>
    <row r="351" spans="2:16" ht="18" customHeight="1" x14ac:dyDescent="0.15">
      <c r="B351" s="156" t="str">
        <f>IF(B332&lt;&gt;"", "Members:","")</f>
        <v/>
      </c>
      <c r="C351" s="681"/>
      <c r="D351" s="681"/>
      <c r="E351" s="681"/>
      <c r="F351" s="681"/>
      <c r="G351" s="681"/>
      <c r="H351" s="681"/>
      <c r="I351" s="645"/>
      <c r="J351" s="645"/>
      <c r="K351" s="645"/>
      <c r="L351" s="645"/>
    </row>
    <row r="352" spans="2:16" ht="18" customHeight="1" x14ac:dyDescent="0.15">
      <c r="B352" s="146"/>
      <c r="C352" s="681"/>
      <c r="D352" s="681"/>
      <c r="E352" s="681"/>
      <c r="F352" s="681"/>
      <c r="G352" s="681"/>
      <c r="H352" s="681"/>
      <c r="I352" s="645"/>
      <c r="J352" s="645"/>
      <c r="K352" s="645"/>
      <c r="L352" s="645"/>
    </row>
    <row r="353" spans="2:105" ht="18" customHeight="1" x14ac:dyDescent="0.15">
      <c r="B353" s="146"/>
      <c r="C353" s="681"/>
      <c r="D353" s="681"/>
      <c r="E353" s="681"/>
      <c r="F353" s="681"/>
      <c r="G353" s="681"/>
      <c r="H353" s="681"/>
      <c r="I353" s="645"/>
      <c r="J353" s="645"/>
      <c r="K353" s="645"/>
      <c r="L353" s="645"/>
    </row>
    <row r="354" spans="2:105" ht="18" customHeight="1" x14ac:dyDescent="0.15">
      <c r="B354" s="146"/>
      <c r="C354" s="681"/>
      <c r="D354" s="681"/>
      <c r="E354" s="681"/>
      <c r="F354" s="681"/>
      <c r="G354" s="681"/>
      <c r="H354" s="681"/>
      <c r="I354" s="645"/>
      <c r="J354" s="645"/>
      <c r="K354" s="645"/>
      <c r="L354" s="645"/>
    </row>
    <row r="355" spans="2:105" ht="18" customHeight="1" x14ac:dyDescent="0.15">
      <c r="B355" s="146"/>
      <c r="C355" s="681"/>
      <c r="D355" s="681"/>
      <c r="E355" s="681"/>
      <c r="F355" s="681"/>
      <c r="G355" s="681"/>
      <c r="H355" s="681"/>
      <c r="I355" s="645"/>
      <c r="J355" s="645"/>
      <c r="K355" s="645"/>
      <c r="L355" s="645"/>
    </row>
    <row r="356" spans="2:105" ht="18" customHeight="1" x14ac:dyDescent="0.15">
      <c r="B356" s="146"/>
      <c r="C356" s="681"/>
      <c r="D356" s="681"/>
      <c r="E356" s="681"/>
      <c r="F356" s="681"/>
      <c r="G356" s="681"/>
      <c r="H356" s="681"/>
      <c r="I356" s="645"/>
      <c r="J356" s="645"/>
      <c r="K356" s="645"/>
      <c r="L356" s="645"/>
    </row>
    <row r="357" spans="2:105" ht="18" customHeight="1" x14ac:dyDescent="0.15">
      <c r="B357" s="146"/>
      <c r="C357" s="681"/>
      <c r="D357" s="681"/>
      <c r="E357" s="681"/>
      <c r="F357" s="681"/>
      <c r="G357" s="681"/>
      <c r="H357" s="681"/>
      <c r="I357" s="645"/>
      <c r="J357" s="645"/>
      <c r="K357" s="645"/>
      <c r="L357" s="645"/>
    </row>
    <row r="358" spans="2:105" ht="18" customHeight="1" x14ac:dyDescent="0.15">
      <c r="B358" s="146"/>
      <c r="C358" s="681"/>
      <c r="D358" s="681"/>
      <c r="E358" s="681"/>
      <c r="F358" s="681"/>
      <c r="G358" s="681"/>
      <c r="H358" s="681"/>
      <c r="I358" s="645"/>
      <c r="J358" s="645"/>
      <c r="K358" s="645"/>
      <c r="L358" s="645"/>
    </row>
    <row r="359" spans="2:105" ht="18" customHeight="1" x14ac:dyDescent="0.15">
      <c r="B359" s="146"/>
      <c r="C359" s="681"/>
      <c r="D359" s="681"/>
      <c r="E359" s="681"/>
      <c r="F359" s="681"/>
      <c r="G359" s="681"/>
      <c r="H359" s="681"/>
      <c r="I359" s="645"/>
      <c r="J359" s="645"/>
      <c r="K359" s="645"/>
      <c r="L359" s="645"/>
    </row>
    <row r="360" spans="2:105" ht="18" customHeight="1" x14ac:dyDescent="0.15">
      <c r="B360" s="146"/>
      <c r="C360" s="681"/>
      <c r="D360" s="681"/>
      <c r="E360" s="681"/>
      <c r="F360" s="681"/>
      <c r="G360" s="681"/>
      <c r="H360" s="681"/>
      <c r="I360" s="645"/>
      <c r="J360" s="645"/>
      <c r="K360" s="645"/>
      <c r="L360" s="645"/>
    </row>
    <row r="361" spans="2:105" ht="18" customHeight="1" x14ac:dyDescent="0.15">
      <c r="B361" s="146"/>
      <c r="C361" s="681"/>
      <c r="D361" s="681"/>
      <c r="E361" s="681"/>
      <c r="F361" s="681"/>
      <c r="G361" s="681"/>
      <c r="H361" s="681"/>
      <c r="I361" s="645"/>
      <c r="J361" s="645"/>
      <c r="K361" s="645"/>
      <c r="L361" s="645"/>
    </row>
    <row r="362" spans="2:105" x14ac:dyDescent="0.15">
      <c r="B362" s="146"/>
      <c r="C362" s="146"/>
      <c r="D362" s="146"/>
      <c r="E362" s="146"/>
      <c r="F362" s="146"/>
      <c r="G362" s="146"/>
      <c r="H362" s="146"/>
      <c r="I362" s="146"/>
      <c r="J362" s="146"/>
      <c r="K362" s="146"/>
      <c r="L362" s="146"/>
    </row>
    <row r="363" spans="2:105" x14ac:dyDescent="0.15">
      <c r="B363" s="146"/>
      <c r="C363" s="146"/>
      <c r="D363" s="146"/>
      <c r="E363" s="146"/>
      <c r="F363" s="146"/>
      <c r="G363" s="146"/>
      <c r="H363" s="146"/>
      <c r="I363" s="146"/>
      <c r="J363" s="146"/>
      <c r="K363" s="146"/>
      <c r="L363" s="146"/>
    </row>
    <row r="364" spans="2:105" s="7" customFormat="1" ht="30" customHeight="1" x14ac:dyDescent="0.15">
      <c r="B364" s="676" t="str">
        <f>IF(B332&lt;&gt;"", "Does the above composition match the provision in the consortium agreement?","")</f>
        <v/>
      </c>
      <c r="C364" s="676"/>
      <c r="D364" s="676"/>
      <c r="E364" s="676"/>
      <c r="F364" s="676"/>
      <c r="G364" s="676"/>
      <c r="H364" s="676"/>
      <c r="I364" s="676"/>
      <c r="J364" s="150"/>
      <c r="K364" s="151"/>
      <c r="L364" s="151"/>
      <c r="M364" s="52"/>
      <c r="N364" s="51"/>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c r="CH364" s="52"/>
      <c r="CI364" s="52"/>
      <c r="CJ364" s="52"/>
      <c r="CK364" s="52"/>
      <c r="CL364" s="52"/>
      <c r="CM364" s="52"/>
      <c r="CN364" s="52"/>
      <c r="CO364" s="52"/>
      <c r="CP364" s="52"/>
      <c r="CQ364" s="52"/>
      <c r="CR364" s="52"/>
      <c r="CS364" s="52"/>
      <c r="CT364" s="52"/>
      <c r="CU364" s="52"/>
      <c r="CV364" s="52"/>
      <c r="CW364" s="52"/>
      <c r="CX364" s="52"/>
      <c r="CY364" s="52"/>
      <c r="CZ364" s="52"/>
      <c r="DA364" s="52"/>
    </row>
    <row r="365" spans="2:105" x14ac:dyDescent="0.15">
      <c r="B365" s="146" t="str">
        <f>IF(J364="No", "Explain:","")</f>
        <v/>
      </c>
      <c r="C365" s="146"/>
      <c r="D365" s="146"/>
      <c r="E365" s="146"/>
      <c r="F365" s="146"/>
      <c r="G365" s="146"/>
      <c r="H365" s="146"/>
      <c r="I365" s="146"/>
      <c r="J365" s="146"/>
      <c r="K365" s="146"/>
      <c r="L365" s="146"/>
    </row>
    <row r="366" spans="2:105" ht="70.5" customHeight="1" x14ac:dyDescent="0.15">
      <c r="B366" s="675"/>
      <c r="C366" s="675"/>
      <c r="D366" s="675"/>
      <c r="E366" s="675"/>
      <c r="F366" s="675"/>
      <c r="G366" s="675"/>
      <c r="H366" s="675"/>
      <c r="I366" s="675"/>
      <c r="J366" s="675"/>
      <c r="K366" s="675"/>
      <c r="L366" s="675"/>
    </row>
    <row r="367" spans="2:105" ht="7.5" customHeight="1" x14ac:dyDescent="0.15">
      <c r="B367" s="146"/>
      <c r="C367" s="146"/>
      <c r="D367" s="146"/>
      <c r="E367" s="146"/>
      <c r="F367" s="146"/>
      <c r="G367" s="146"/>
      <c r="H367" s="146"/>
      <c r="I367" s="146"/>
      <c r="J367" s="146"/>
      <c r="K367" s="146"/>
      <c r="L367" s="146"/>
    </row>
    <row r="368" spans="2:105" s="7" customFormat="1" ht="30" customHeight="1" x14ac:dyDescent="0.15">
      <c r="B368" s="676" t="str">
        <f>IF(B332&lt;&gt;"", "Is there a separate Governing Body and Advisory Committee for the program?","")</f>
        <v/>
      </c>
      <c r="C368" s="676"/>
      <c r="D368" s="676"/>
      <c r="E368" s="676"/>
      <c r="F368" s="676"/>
      <c r="G368" s="676"/>
      <c r="H368" s="676"/>
      <c r="I368" s="676"/>
      <c r="J368" s="150"/>
      <c r="K368" s="151"/>
      <c r="L368" s="151"/>
      <c r="M368" s="52"/>
      <c r="N368" s="51"/>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c r="CH368" s="52"/>
      <c r="CI368" s="52"/>
      <c r="CJ368" s="52"/>
      <c r="CK368" s="52"/>
      <c r="CL368" s="52"/>
      <c r="CM368" s="52"/>
      <c r="CN368" s="52"/>
      <c r="CO368" s="52"/>
      <c r="CP368" s="52"/>
      <c r="CQ368" s="52"/>
      <c r="CR368" s="52"/>
      <c r="CS368" s="52"/>
      <c r="CT368" s="52"/>
      <c r="CU368" s="52"/>
      <c r="CV368" s="52"/>
      <c r="CW368" s="52"/>
      <c r="CX368" s="52"/>
      <c r="CY368" s="52"/>
      <c r="CZ368" s="52"/>
      <c r="DA368" s="52"/>
    </row>
    <row r="369" spans="2:105" ht="7.5" customHeight="1" x14ac:dyDescent="0.15">
      <c r="B369" s="146"/>
      <c r="C369" s="146"/>
      <c r="D369" s="146"/>
      <c r="E369" s="146"/>
      <c r="F369" s="146"/>
      <c r="G369" s="146"/>
      <c r="H369" s="146"/>
      <c r="I369" s="146"/>
      <c r="J369" s="146"/>
      <c r="K369" s="146"/>
      <c r="L369" s="146"/>
    </row>
    <row r="370" spans="2:105" s="7" customFormat="1" ht="30" customHeight="1" x14ac:dyDescent="0.15">
      <c r="B370" s="676" t="str">
        <f>IF(B332&lt;&gt;"", "Does the organizational chart match the one presented in the self-study report?","")</f>
        <v/>
      </c>
      <c r="C370" s="676"/>
      <c r="D370" s="676"/>
      <c r="E370" s="676"/>
      <c r="F370" s="676"/>
      <c r="G370" s="676"/>
      <c r="H370" s="676"/>
      <c r="I370" s="676"/>
      <c r="J370" s="150"/>
      <c r="K370" s="151"/>
      <c r="L370" s="151"/>
      <c r="M370" s="52"/>
      <c r="N370" s="51"/>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c r="CH370" s="52"/>
      <c r="CI370" s="52"/>
      <c r="CJ370" s="52"/>
      <c r="CK370" s="52"/>
      <c r="CL370" s="52"/>
      <c r="CM370" s="52"/>
      <c r="CN370" s="52"/>
      <c r="CO370" s="52"/>
      <c r="CP370" s="52"/>
      <c r="CQ370" s="52"/>
      <c r="CR370" s="52"/>
      <c r="CS370" s="52"/>
      <c r="CT370" s="52"/>
      <c r="CU370" s="52"/>
      <c r="CV370" s="52"/>
      <c r="CW370" s="52"/>
      <c r="CX370" s="52"/>
      <c r="CY370" s="52"/>
      <c r="CZ370" s="52"/>
      <c r="DA370" s="52"/>
    </row>
    <row r="371" spans="2:105" x14ac:dyDescent="0.15">
      <c r="B371" s="146" t="str">
        <f>IF(J370="No", "Explain:","")</f>
        <v/>
      </c>
      <c r="C371" s="146"/>
      <c r="D371" s="146"/>
      <c r="E371" s="146"/>
      <c r="F371" s="146"/>
      <c r="G371" s="146"/>
      <c r="H371" s="146"/>
      <c r="I371" s="146"/>
      <c r="J371" s="146"/>
      <c r="K371" s="146"/>
      <c r="L371" s="146"/>
    </row>
    <row r="372" spans="2:105" ht="70.5" customHeight="1" x14ac:dyDescent="0.15">
      <c r="B372" s="675"/>
      <c r="C372" s="675"/>
      <c r="D372" s="675"/>
      <c r="E372" s="675"/>
      <c r="F372" s="675"/>
      <c r="G372" s="675"/>
      <c r="H372" s="675"/>
      <c r="I372" s="675"/>
      <c r="J372" s="675"/>
      <c r="K372" s="675"/>
      <c r="L372" s="675"/>
    </row>
    <row r="373" spans="2:105" ht="7.5" customHeight="1" x14ac:dyDescent="0.15">
      <c r="B373" s="146"/>
      <c r="C373" s="146"/>
      <c r="D373" s="146"/>
      <c r="E373" s="146"/>
      <c r="F373" s="146"/>
      <c r="G373" s="146"/>
      <c r="H373" s="146"/>
      <c r="I373" s="146"/>
      <c r="J373" s="146"/>
      <c r="K373" s="146"/>
      <c r="L373" s="146"/>
    </row>
    <row r="374" spans="2:105" s="7" customFormat="1" ht="30" customHeight="1" x14ac:dyDescent="0.15">
      <c r="B374" s="676" t="str">
        <f>IF(B332&lt;&gt;"", "Does the actual operation of the program match the lines of authority stated in the consortium agreement and organizational chart?","")</f>
        <v/>
      </c>
      <c r="C374" s="676"/>
      <c r="D374" s="676"/>
      <c r="E374" s="676"/>
      <c r="F374" s="676"/>
      <c r="G374" s="676"/>
      <c r="H374" s="676"/>
      <c r="I374" s="676"/>
      <c r="J374" s="150"/>
      <c r="K374" s="151"/>
      <c r="L374" s="151"/>
      <c r="M374" s="52"/>
      <c r="N374" s="51"/>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c r="CH374" s="52"/>
      <c r="CI374" s="52"/>
      <c r="CJ374" s="52"/>
      <c r="CK374" s="52"/>
      <c r="CL374" s="52"/>
      <c r="CM374" s="52"/>
      <c r="CN374" s="52"/>
      <c r="CO374" s="52"/>
      <c r="CP374" s="52"/>
      <c r="CQ374" s="52"/>
      <c r="CR374" s="52"/>
      <c r="CS374" s="52"/>
      <c r="CT374" s="52"/>
      <c r="CU374" s="52"/>
      <c r="CV374" s="52"/>
      <c r="CW374" s="52"/>
      <c r="CX374" s="52"/>
      <c r="CY374" s="52"/>
      <c r="CZ374" s="52"/>
      <c r="DA374" s="52"/>
    </row>
    <row r="375" spans="2:105" x14ac:dyDescent="0.15">
      <c r="B375" s="146" t="str">
        <f>IF(J374="No", "Explain:","")</f>
        <v/>
      </c>
      <c r="C375" s="146"/>
      <c r="D375" s="146"/>
      <c r="E375" s="146"/>
      <c r="F375" s="146"/>
      <c r="G375" s="146"/>
      <c r="H375" s="146"/>
      <c r="I375" s="146"/>
      <c r="J375" s="146"/>
      <c r="K375" s="146"/>
      <c r="L375" s="146"/>
    </row>
    <row r="376" spans="2:105" ht="70.5" customHeight="1" x14ac:dyDescent="0.15">
      <c r="B376" s="675"/>
      <c r="C376" s="675"/>
      <c r="D376" s="675"/>
      <c r="E376" s="675"/>
      <c r="F376" s="675"/>
      <c r="G376" s="675"/>
      <c r="H376" s="675"/>
      <c r="I376" s="675"/>
      <c r="J376" s="675"/>
      <c r="K376" s="675"/>
      <c r="L376" s="675"/>
    </row>
    <row r="377" spans="2:105" ht="7.5" customHeight="1" x14ac:dyDescent="0.15">
      <c r="B377" s="146"/>
      <c r="C377" s="146"/>
      <c r="D377" s="146"/>
      <c r="E377" s="146"/>
      <c r="F377" s="146"/>
      <c r="G377" s="146"/>
      <c r="H377" s="146"/>
      <c r="I377" s="146"/>
      <c r="J377" s="146"/>
      <c r="K377" s="146"/>
      <c r="L377" s="146"/>
    </row>
    <row r="378" spans="2:105" ht="21.75" customHeight="1" x14ac:dyDescent="0.15">
      <c r="B378" s="687" t="str">
        <f>IF(B332&lt;&gt;"", "To whom does the program director report on a day-to-day basis?","")</f>
        <v/>
      </c>
      <c r="C378" s="687"/>
      <c r="D378" s="687"/>
      <c r="E378" s="687"/>
      <c r="F378" s="687"/>
      <c r="G378" s="687"/>
      <c r="H378" s="675"/>
      <c r="I378" s="675"/>
      <c r="J378" s="675"/>
      <c r="K378" s="675"/>
      <c r="L378" s="146"/>
    </row>
    <row r="379" spans="2:105" ht="7.5" customHeight="1" x14ac:dyDescent="0.15">
      <c r="B379" s="146"/>
      <c r="C379" s="146"/>
      <c r="D379" s="146"/>
      <c r="E379" s="146"/>
      <c r="F379" s="146"/>
      <c r="G379" s="146"/>
      <c r="H379" s="146"/>
      <c r="I379" s="146"/>
      <c r="J379" s="146"/>
      <c r="K379" s="146"/>
      <c r="L379" s="146"/>
    </row>
    <row r="380" spans="2:105" s="7" customFormat="1" ht="30" customHeight="1" x14ac:dyDescent="0.15">
      <c r="B380" s="676" t="str">
        <f>IF(B332&lt;&gt;"", "Are there written policies and procedures that the program follows?","")</f>
        <v/>
      </c>
      <c r="C380" s="676"/>
      <c r="D380" s="676"/>
      <c r="E380" s="676"/>
      <c r="F380" s="676"/>
      <c r="G380" s="676"/>
      <c r="H380" s="676"/>
      <c r="I380" s="676"/>
      <c r="J380" s="150"/>
      <c r="K380" s="151"/>
      <c r="L380" s="151"/>
      <c r="M380" s="52"/>
      <c r="N380" s="51"/>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c r="CH380" s="52"/>
      <c r="CI380" s="52"/>
      <c r="CJ380" s="52"/>
      <c r="CK380" s="52"/>
      <c r="CL380" s="52"/>
      <c r="CM380" s="52"/>
      <c r="CN380" s="52"/>
      <c r="CO380" s="52"/>
      <c r="CP380" s="52"/>
      <c r="CQ380" s="52"/>
      <c r="CR380" s="52"/>
      <c r="CS380" s="52"/>
      <c r="CT380" s="52"/>
      <c r="CU380" s="52"/>
      <c r="CV380" s="52"/>
      <c r="CW380" s="52"/>
      <c r="CX380" s="52"/>
      <c r="CY380" s="52"/>
      <c r="CZ380" s="52"/>
      <c r="DA380" s="52"/>
    </row>
    <row r="381" spans="2:105" x14ac:dyDescent="0.15">
      <c r="B381" s="146" t="str">
        <f>IF(J380="No", "Explain:","")</f>
        <v/>
      </c>
      <c r="C381" s="146"/>
      <c r="D381" s="146"/>
      <c r="E381" s="146"/>
      <c r="F381" s="146"/>
      <c r="G381" s="146"/>
      <c r="H381" s="146"/>
      <c r="I381" s="146"/>
      <c r="J381" s="146"/>
      <c r="K381" s="146"/>
      <c r="L381" s="146"/>
    </row>
    <row r="382" spans="2:105" ht="70.5" customHeight="1" x14ac:dyDescent="0.15">
      <c r="B382" s="675"/>
      <c r="C382" s="675"/>
      <c r="D382" s="675"/>
      <c r="E382" s="675"/>
      <c r="F382" s="675"/>
      <c r="G382" s="675"/>
      <c r="H382" s="675"/>
      <c r="I382" s="675"/>
      <c r="J382" s="675"/>
      <c r="K382" s="675"/>
      <c r="L382" s="675"/>
    </row>
    <row r="383" spans="2:105" ht="7.5" customHeight="1" x14ac:dyDescent="0.15">
      <c r="B383" s="146"/>
      <c r="C383" s="146"/>
      <c r="D383" s="146"/>
      <c r="E383" s="146"/>
      <c r="F383" s="146"/>
      <c r="G383" s="146"/>
      <c r="H383" s="146"/>
      <c r="I383" s="146"/>
      <c r="J383" s="146"/>
      <c r="K383" s="146"/>
      <c r="L383" s="146"/>
    </row>
    <row r="384" spans="2:105" s="7" customFormat="1" ht="30" customHeight="1" x14ac:dyDescent="0.15">
      <c r="B384" s="676" t="str">
        <f>IF(B332&lt;&gt;"", "Has the governing body met at least annually?","")</f>
        <v/>
      </c>
      <c r="C384" s="676"/>
      <c r="D384" s="676"/>
      <c r="E384" s="676"/>
      <c r="F384" s="676"/>
      <c r="G384" s="676"/>
      <c r="H384" s="676"/>
      <c r="I384" s="676"/>
      <c r="J384" s="150"/>
      <c r="K384" s="151"/>
      <c r="L384" s="151"/>
      <c r="M384" s="52"/>
      <c r="N384" s="51"/>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c r="CH384" s="52"/>
      <c r="CI384" s="52"/>
      <c r="CJ384" s="52"/>
      <c r="CK384" s="52"/>
      <c r="CL384" s="52"/>
      <c r="CM384" s="52"/>
      <c r="CN384" s="52"/>
      <c r="CO384" s="52"/>
      <c r="CP384" s="52"/>
      <c r="CQ384" s="52"/>
      <c r="CR384" s="52"/>
      <c r="CS384" s="52"/>
      <c r="CT384" s="52"/>
      <c r="CU384" s="52"/>
      <c r="CV384" s="52"/>
      <c r="CW384" s="52"/>
      <c r="CX384" s="52"/>
      <c r="CY384" s="52"/>
      <c r="CZ384" s="52"/>
      <c r="DA384" s="52"/>
    </row>
    <row r="385" spans="2:105" ht="7.5" customHeight="1" x14ac:dyDescent="0.15">
      <c r="B385" s="146"/>
      <c r="C385" s="146"/>
      <c r="D385" s="146"/>
      <c r="E385" s="146"/>
      <c r="F385" s="146"/>
      <c r="G385" s="146"/>
      <c r="H385" s="146"/>
      <c r="I385" s="146"/>
      <c r="J385" s="146"/>
      <c r="K385" s="146"/>
      <c r="L385" s="146"/>
    </row>
    <row r="386" spans="2:105" ht="21.75" customHeight="1" x14ac:dyDescent="0.15">
      <c r="B386" s="677" t="str">
        <f>IF(B332&lt;&gt;"", "Dates (last 3yrs):     ","")</f>
        <v/>
      </c>
      <c r="C386" s="677"/>
      <c r="D386" s="677"/>
      <c r="E386" s="677"/>
      <c r="F386" s="677"/>
      <c r="G386" s="677"/>
      <c r="H386" s="675"/>
      <c r="I386" s="675"/>
      <c r="J386" s="675"/>
      <c r="K386" s="675"/>
      <c r="L386" s="146"/>
    </row>
    <row r="387" spans="2:105" ht="7.5" customHeight="1" x14ac:dyDescent="0.15">
      <c r="B387" s="146"/>
      <c r="C387" s="146"/>
      <c r="D387" s="146"/>
      <c r="E387" s="146"/>
      <c r="F387" s="146"/>
      <c r="G387" s="146"/>
      <c r="H387" s="146"/>
      <c r="I387" s="146"/>
      <c r="J387" s="146"/>
      <c r="K387" s="146"/>
      <c r="L387" s="146"/>
    </row>
    <row r="388" spans="2:105" s="7" customFormat="1" ht="30" customHeight="1" x14ac:dyDescent="0.15">
      <c r="B388" s="676" t="str">
        <f>IF(B332&lt;&gt;"", "Did you review governing body meeting minutes?","")</f>
        <v/>
      </c>
      <c r="C388" s="676"/>
      <c r="D388" s="676"/>
      <c r="E388" s="676"/>
      <c r="F388" s="676"/>
      <c r="G388" s="676"/>
      <c r="H388" s="676"/>
      <c r="I388" s="676"/>
      <c r="J388" s="150"/>
      <c r="K388" s="151"/>
      <c r="L388" s="151"/>
      <c r="M388" s="52"/>
      <c r="N388" s="51"/>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c r="CH388" s="52"/>
      <c r="CI388" s="52"/>
      <c r="CJ388" s="52"/>
      <c r="CK388" s="52"/>
      <c r="CL388" s="52"/>
      <c r="CM388" s="52"/>
      <c r="CN388" s="52"/>
      <c r="CO388" s="52"/>
      <c r="CP388" s="52"/>
      <c r="CQ388" s="52"/>
      <c r="CR388" s="52"/>
      <c r="CS388" s="52"/>
      <c r="CT388" s="52"/>
      <c r="CU388" s="52"/>
      <c r="CV388" s="52"/>
      <c r="CW388" s="52"/>
      <c r="CX388" s="52"/>
      <c r="CY388" s="52"/>
      <c r="CZ388" s="52"/>
      <c r="DA388" s="52"/>
    </row>
    <row r="389" spans="2:105" ht="7.5" customHeight="1" x14ac:dyDescent="0.15">
      <c r="B389" s="146"/>
      <c r="C389" s="146"/>
      <c r="D389" s="146"/>
      <c r="E389" s="146"/>
      <c r="F389" s="146"/>
      <c r="G389" s="146"/>
      <c r="H389" s="146"/>
      <c r="I389" s="146"/>
      <c r="J389" s="146"/>
      <c r="K389" s="146"/>
      <c r="L389" s="146"/>
    </row>
    <row r="390" spans="2:105" ht="21.75" customHeight="1" x14ac:dyDescent="0.15">
      <c r="B390" s="677" t="str">
        <f>IF(J388="Yes", "Which meetings?   ","")</f>
        <v/>
      </c>
      <c r="C390" s="677"/>
      <c r="D390" s="677"/>
      <c r="E390" s="677"/>
      <c r="F390" s="677"/>
      <c r="G390" s="677"/>
      <c r="H390" s="675"/>
      <c r="I390" s="675"/>
      <c r="J390" s="675"/>
      <c r="K390" s="675"/>
      <c r="L390" s="146"/>
    </row>
    <row r="391" spans="2:105" ht="7.5" customHeight="1" x14ac:dyDescent="0.15">
      <c r="B391" s="146"/>
      <c r="C391" s="146"/>
      <c r="D391" s="146"/>
      <c r="E391" s="146"/>
      <c r="F391" s="146"/>
      <c r="G391" s="146"/>
      <c r="H391" s="146"/>
      <c r="I391" s="146"/>
      <c r="J391" s="146"/>
      <c r="K391" s="146"/>
      <c r="L391" s="146"/>
    </row>
    <row r="392" spans="2:105" s="7" customFormat="1" ht="24" customHeight="1" x14ac:dyDescent="0.15">
      <c r="B392" s="686" t="str">
        <f>IF(B332&lt;&gt;"", "Do the minutes of the governing body substantiate that the consortium (i.e., sponsor) is:","")</f>
        <v/>
      </c>
      <c r="C392" s="686"/>
      <c r="D392" s="686"/>
      <c r="E392" s="686"/>
      <c r="F392" s="686"/>
      <c r="G392" s="686"/>
      <c r="H392" s="686"/>
      <c r="I392" s="686"/>
      <c r="J392" s="151"/>
      <c r="K392" s="151"/>
      <c r="L392" s="151"/>
      <c r="M392" s="52"/>
      <c r="N392" s="51"/>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c r="CH392" s="52"/>
      <c r="CI392" s="52"/>
      <c r="CJ392" s="52"/>
      <c r="CK392" s="52"/>
      <c r="CL392" s="52"/>
      <c r="CM392" s="52"/>
      <c r="CN392" s="52"/>
      <c r="CO392" s="52"/>
      <c r="CP392" s="52"/>
      <c r="CQ392" s="52"/>
      <c r="CR392" s="52"/>
      <c r="CS392" s="52"/>
      <c r="CT392" s="52"/>
      <c r="CU392" s="52"/>
      <c r="CV392" s="52"/>
      <c r="CW392" s="52"/>
      <c r="CX392" s="52"/>
      <c r="CY392" s="52"/>
      <c r="CZ392" s="52"/>
      <c r="DA392" s="52"/>
    </row>
    <row r="393" spans="2:105" ht="21.75" customHeight="1" x14ac:dyDescent="0.15">
      <c r="B393" s="662" t="str">
        <f>IF(B332&lt;&gt;"", "(1) meeting the accreditation requirements of the Standards?       ","")</f>
        <v/>
      </c>
      <c r="C393" s="662"/>
      <c r="D393" s="662"/>
      <c r="E393" s="662"/>
      <c r="F393" s="662"/>
      <c r="G393" s="662"/>
      <c r="H393" s="662"/>
      <c r="I393" s="662"/>
      <c r="J393" s="150"/>
      <c r="K393" s="157"/>
      <c r="L393" s="146"/>
    </row>
    <row r="394" spans="2:105" ht="21.75" customHeight="1" x14ac:dyDescent="0.15">
      <c r="B394" s="662" t="str">
        <f>IF(B332&lt;&gt;"", "(2) meeting the provisions of the specific consortium agreement?","")</f>
        <v/>
      </c>
      <c r="C394" s="662"/>
      <c r="D394" s="662"/>
      <c r="E394" s="662"/>
      <c r="F394" s="662"/>
      <c r="G394" s="662"/>
      <c r="H394" s="662"/>
      <c r="I394" s="662"/>
      <c r="J394" s="150"/>
      <c r="K394" s="157"/>
      <c r="L394" s="146"/>
    </row>
    <row r="395" spans="2:105" x14ac:dyDescent="0.15">
      <c r="B395" s="146"/>
      <c r="C395" s="146"/>
      <c r="D395" s="146"/>
      <c r="E395" s="146"/>
      <c r="F395" s="146"/>
      <c r="G395" s="146"/>
      <c r="H395" s="146"/>
      <c r="I395" s="146"/>
      <c r="J395" s="146"/>
      <c r="K395" s="146"/>
      <c r="L395" s="146"/>
    </row>
    <row r="396" spans="2:105" x14ac:dyDescent="0.15">
      <c r="B396" s="682" t="str">
        <f>IF(AND(J393="No",J394="No"),"Please describe for both number 1 and 2:",IF(J393="No", "Please describe:",IF(J394="No", "Please describe:", "")))</f>
        <v/>
      </c>
      <c r="C396" s="682"/>
      <c r="D396" s="682"/>
      <c r="E396" s="682"/>
      <c r="F396" s="682"/>
      <c r="G396" s="682"/>
      <c r="H396" s="146"/>
      <c r="I396" s="146"/>
      <c r="J396" s="146"/>
      <c r="K396" s="146"/>
      <c r="L396" s="146"/>
    </row>
    <row r="397" spans="2:105" x14ac:dyDescent="0.15">
      <c r="B397" s="675"/>
      <c r="C397" s="675"/>
      <c r="D397" s="675"/>
      <c r="E397" s="675"/>
      <c r="F397" s="675"/>
      <c r="G397" s="675"/>
      <c r="H397" s="675"/>
      <c r="I397" s="675"/>
      <c r="J397" s="675"/>
      <c r="K397" s="675"/>
      <c r="L397" s="675"/>
    </row>
    <row r="398" spans="2:105" x14ac:dyDescent="0.15">
      <c r="B398" s="675"/>
      <c r="C398" s="675"/>
      <c r="D398" s="675"/>
      <c r="E398" s="675"/>
      <c r="F398" s="675"/>
      <c r="G398" s="675"/>
      <c r="H398" s="675"/>
      <c r="I398" s="675"/>
      <c r="J398" s="675"/>
      <c r="K398" s="675"/>
      <c r="L398" s="675"/>
    </row>
    <row r="399" spans="2:105" x14ac:dyDescent="0.15">
      <c r="B399" s="675"/>
      <c r="C399" s="675"/>
      <c r="D399" s="675"/>
      <c r="E399" s="675"/>
      <c r="F399" s="675"/>
      <c r="G399" s="675"/>
      <c r="H399" s="675"/>
      <c r="I399" s="675"/>
      <c r="J399" s="675"/>
      <c r="K399" s="675"/>
      <c r="L399" s="675"/>
    </row>
    <row r="400" spans="2:105" x14ac:dyDescent="0.15">
      <c r="B400" s="675"/>
      <c r="C400" s="675"/>
      <c r="D400" s="675"/>
      <c r="E400" s="675"/>
      <c r="F400" s="675"/>
      <c r="G400" s="675"/>
      <c r="H400" s="675"/>
      <c r="I400" s="675"/>
      <c r="J400" s="675"/>
      <c r="K400" s="675"/>
      <c r="L400" s="675"/>
    </row>
    <row r="401" spans="2:12" x14ac:dyDescent="0.15">
      <c r="B401" s="675"/>
      <c r="C401" s="675"/>
      <c r="D401" s="675"/>
      <c r="E401" s="675"/>
      <c r="F401" s="675"/>
      <c r="G401" s="675"/>
      <c r="H401" s="675"/>
      <c r="I401" s="675"/>
      <c r="J401" s="675"/>
      <c r="K401" s="675"/>
      <c r="L401" s="675"/>
    </row>
    <row r="402" spans="2:12" x14ac:dyDescent="0.15">
      <c r="B402" s="675"/>
      <c r="C402" s="675"/>
      <c r="D402" s="675"/>
      <c r="E402" s="675"/>
      <c r="F402" s="675"/>
      <c r="G402" s="675"/>
      <c r="H402" s="675"/>
      <c r="I402" s="675"/>
      <c r="J402" s="675"/>
      <c r="K402" s="675"/>
      <c r="L402" s="675"/>
    </row>
    <row r="403" spans="2:12" x14ac:dyDescent="0.15">
      <c r="B403" s="675"/>
      <c r="C403" s="675"/>
      <c r="D403" s="675"/>
      <c r="E403" s="675"/>
      <c r="F403" s="675"/>
      <c r="G403" s="675"/>
      <c r="H403" s="675"/>
      <c r="I403" s="675"/>
      <c r="J403" s="675"/>
      <c r="K403" s="675"/>
      <c r="L403" s="675"/>
    </row>
    <row r="404" spans="2:12" x14ac:dyDescent="0.15">
      <c r="B404" s="675"/>
      <c r="C404" s="675"/>
      <c r="D404" s="675"/>
      <c r="E404" s="675"/>
      <c r="F404" s="675"/>
      <c r="G404" s="675"/>
      <c r="H404" s="675"/>
      <c r="I404" s="675"/>
      <c r="J404" s="675"/>
      <c r="K404" s="675"/>
      <c r="L404" s="675"/>
    </row>
    <row r="405" spans="2:12" x14ac:dyDescent="0.15">
      <c r="B405" s="675"/>
      <c r="C405" s="675"/>
      <c r="D405" s="675"/>
      <c r="E405" s="675"/>
      <c r="F405" s="675"/>
      <c r="G405" s="675"/>
      <c r="H405" s="675"/>
      <c r="I405" s="675"/>
      <c r="J405" s="675"/>
      <c r="K405" s="675"/>
      <c r="L405" s="675"/>
    </row>
    <row r="406" spans="2:12" x14ac:dyDescent="0.15">
      <c r="B406" s="675"/>
      <c r="C406" s="675"/>
      <c r="D406" s="675"/>
      <c r="E406" s="675"/>
      <c r="F406" s="675"/>
      <c r="G406" s="675"/>
      <c r="H406" s="675"/>
      <c r="I406" s="675"/>
      <c r="J406" s="675"/>
      <c r="K406" s="675"/>
      <c r="L406" s="675"/>
    </row>
    <row r="407" spans="2:12" x14ac:dyDescent="0.15">
      <c r="B407" s="675"/>
      <c r="C407" s="675"/>
      <c r="D407" s="675"/>
      <c r="E407" s="675"/>
      <c r="F407" s="675"/>
      <c r="G407" s="675"/>
      <c r="H407" s="675"/>
      <c r="I407" s="675"/>
      <c r="J407" s="675"/>
      <c r="K407" s="675"/>
      <c r="L407" s="675"/>
    </row>
    <row r="408" spans="2:12" x14ac:dyDescent="0.15">
      <c r="B408" s="675"/>
      <c r="C408" s="675"/>
      <c r="D408" s="675"/>
      <c r="E408" s="675"/>
      <c r="F408" s="675"/>
      <c r="G408" s="675"/>
      <c r="H408" s="675"/>
      <c r="I408" s="675"/>
      <c r="J408" s="675"/>
      <c r="K408" s="675"/>
      <c r="L408" s="675"/>
    </row>
    <row r="409" spans="2:12" x14ac:dyDescent="0.15">
      <c r="B409" s="675"/>
      <c r="C409" s="675"/>
      <c r="D409" s="675"/>
      <c r="E409" s="675"/>
      <c r="F409" s="675"/>
      <c r="G409" s="675"/>
      <c r="H409" s="675"/>
      <c r="I409" s="675"/>
      <c r="J409" s="675"/>
      <c r="K409" s="675"/>
      <c r="L409" s="675"/>
    </row>
    <row r="410" spans="2:12" x14ac:dyDescent="0.15">
      <c r="B410" s="146"/>
      <c r="C410" s="146"/>
      <c r="D410" s="146"/>
      <c r="E410" s="146"/>
      <c r="F410" s="146"/>
      <c r="G410" s="146"/>
      <c r="H410" s="146"/>
      <c r="I410" s="146"/>
      <c r="J410" s="146"/>
      <c r="K410" s="146"/>
      <c r="L410" s="146"/>
    </row>
    <row r="411" spans="2:12" ht="48.5" customHeight="1" x14ac:dyDescent="0.15">
      <c r="B411" s="146"/>
      <c r="C411" s="558" t="str">
        <f>IF(AND(B332&lt;&gt;"",'Satellite(s)'!M4=0), "This completes the Consortium Addendum",IF(AND(B332&lt;&gt;"",'Satellite(s)'!M4&gt;0),"This completes the Consortium Addendum. Continue to the Satellite(s) tab to complete the Satellite Addendum.",IF(AND(B332="",'Satellite(s)'!M4&gt;0),"Select the Satellite(s) tab to complete the Satellite Addendum.","")))</f>
        <v/>
      </c>
      <c r="D411" s="558"/>
      <c r="E411" s="558"/>
      <c r="F411" s="558"/>
      <c r="G411" s="558"/>
      <c r="H411" s="558"/>
      <c r="I411" s="558"/>
      <c r="J411" s="158"/>
      <c r="K411" s="146"/>
      <c r="L411" s="146"/>
    </row>
  </sheetData>
  <sheetProtection algorithmName="SHA-512" hashValue="xw+ucz03CikXU9qnNaXR08eTzfimqtB76AimUweHiVKUs08utQBKb0l1qBj75S84H8gOWmw8x5rZTGH3C+HAxQ==" saltValue="DonDYxMDNL/ymRuK+z7UVg==" spinCount="100000" sheet="1" formatRows="0" selectLockedCells="1"/>
  <customSheetViews>
    <customSheetView guid="{C17C9B4A-0866-4AA0-BC6D-B2274E9D30D3}" showGridLines="0">
      <pane ySplit="6" topLeftCell="A22" activePane="bottomLeft" state="frozen"/>
      <selection pane="bottomLeft" activeCell="J24" sqref="J24:L24"/>
      <pageMargins left="0.45" right="0.45" top="0.5" bottom="0.5" header="0.3" footer="0.3"/>
      <pageSetup scale="79" fitToHeight="0" orientation="landscape" r:id="rId1"/>
    </customSheetView>
    <customSheetView guid="{6FDBC1BF-99FD-492F-9A38-B1FC9531BD14}" showGridLines="0">
      <pane ySplit="6" topLeftCell="A22" activePane="bottomLeft" state="frozen"/>
      <selection pane="bottomLeft" activeCell="J24" sqref="J24:L24"/>
      <pageMargins left="0.45" right="0.45" top="0.5" bottom="0.5" header="0.3" footer="0.3"/>
      <pageSetup scale="79" fitToHeight="0" orientation="landscape" r:id="rId2"/>
    </customSheetView>
  </customSheetViews>
  <mergeCells count="715">
    <mergeCell ref="K138:L138"/>
    <mergeCell ref="K148:L148"/>
    <mergeCell ref="K185:L185"/>
    <mergeCell ref="G157:G158"/>
    <mergeCell ref="H150:I150"/>
    <mergeCell ref="H151:I151"/>
    <mergeCell ref="J151:L151"/>
    <mergeCell ref="B150:F151"/>
    <mergeCell ref="G150:G151"/>
    <mergeCell ref="K150:L150"/>
    <mergeCell ref="B177:L177"/>
    <mergeCell ref="C170:F170"/>
    <mergeCell ref="B162:L162"/>
    <mergeCell ref="J178:L179"/>
    <mergeCell ref="B178:B179"/>
    <mergeCell ref="J159:L160"/>
    <mergeCell ref="J153:L154"/>
    <mergeCell ref="J182:L182"/>
    <mergeCell ref="G159:G160"/>
    <mergeCell ref="J166:L166"/>
    <mergeCell ref="C180:F180"/>
    <mergeCell ref="J180:L180"/>
    <mergeCell ref="B142:L142"/>
    <mergeCell ref="B148:F148"/>
    <mergeCell ref="G191:G192"/>
    <mergeCell ref="C191:F192"/>
    <mergeCell ref="B191:B192"/>
    <mergeCell ref="J191:L192"/>
    <mergeCell ref="B189:B190"/>
    <mergeCell ref="J201:L201"/>
    <mergeCell ref="H200:I200"/>
    <mergeCell ref="J218:L218"/>
    <mergeCell ref="G189:G190"/>
    <mergeCell ref="C189:F190"/>
    <mergeCell ref="C181:F181"/>
    <mergeCell ref="J170:L170"/>
    <mergeCell ref="B169:L169"/>
    <mergeCell ref="B175:B176"/>
    <mergeCell ref="J175:L176"/>
    <mergeCell ref="J181:L181"/>
    <mergeCell ref="C183:F183"/>
    <mergeCell ref="H175:H176"/>
    <mergeCell ref="C178:F179"/>
    <mergeCell ref="J183:L183"/>
    <mergeCell ref="C182:F182"/>
    <mergeCell ref="B184:L184"/>
    <mergeCell ref="H185:I185"/>
    <mergeCell ref="B185:F185"/>
    <mergeCell ref="B186:L186"/>
    <mergeCell ref="B214:B219"/>
    <mergeCell ref="B220:B222"/>
    <mergeCell ref="J220:L222"/>
    <mergeCell ref="H217:I217"/>
    <mergeCell ref="J217:L217"/>
    <mergeCell ref="I187:I192"/>
    <mergeCell ref="H187:H192"/>
    <mergeCell ref="J189:L190"/>
    <mergeCell ref="C187:F187"/>
    <mergeCell ref="J187:L187"/>
    <mergeCell ref="C188:F188"/>
    <mergeCell ref="J188:L188"/>
    <mergeCell ref="B203:B207"/>
    <mergeCell ref="H206:I206"/>
    <mergeCell ref="J206:L206"/>
    <mergeCell ref="J211:L211"/>
    <mergeCell ref="J205:L205"/>
    <mergeCell ref="H212:I212"/>
    <mergeCell ref="J212:L212"/>
    <mergeCell ref="B208:B213"/>
    <mergeCell ref="H227:I227"/>
    <mergeCell ref="B233:L233"/>
    <mergeCell ref="G224:G226"/>
    <mergeCell ref="J230:L230"/>
    <mergeCell ref="B224:B229"/>
    <mergeCell ref="J214:L216"/>
    <mergeCell ref="C231:F231"/>
    <mergeCell ref="J231:L231"/>
    <mergeCell ref="H219:I219"/>
    <mergeCell ref="J219:L219"/>
    <mergeCell ref="H229:I229"/>
    <mergeCell ref="J229:L229"/>
    <mergeCell ref="C220:F222"/>
    <mergeCell ref="H220:H221"/>
    <mergeCell ref="H218:I218"/>
    <mergeCell ref="H228:I228"/>
    <mergeCell ref="J228:L228"/>
    <mergeCell ref="J224:L226"/>
    <mergeCell ref="B223:L223"/>
    <mergeCell ref="C230:F230"/>
    <mergeCell ref="B137:L137"/>
    <mergeCell ref="B139:L139"/>
    <mergeCell ref="J143:L143"/>
    <mergeCell ref="J144:L144"/>
    <mergeCell ref="C143:F143"/>
    <mergeCell ref="C144:F144"/>
    <mergeCell ref="C117:F117"/>
    <mergeCell ref="C107:F109"/>
    <mergeCell ref="G107:G109"/>
    <mergeCell ref="B131:L131"/>
    <mergeCell ref="C110:F112"/>
    <mergeCell ref="H110:I110"/>
    <mergeCell ref="B122:L122"/>
    <mergeCell ref="C120:F120"/>
    <mergeCell ref="B110:B112"/>
    <mergeCell ref="B113:B115"/>
    <mergeCell ref="C130:F130"/>
    <mergeCell ref="C129:F129"/>
    <mergeCell ref="C124:F124"/>
    <mergeCell ref="C119:F119"/>
    <mergeCell ref="J118:L118"/>
    <mergeCell ref="C118:F118"/>
    <mergeCell ref="H112:I112"/>
    <mergeCell ref="J125:L125"/>
    <mergeCell ref="C121:F121"/>
    <mergeCell ref="C126:F126"/>
    <mergeCell ref="J130:L130"/>
    <mergeCell ref="J98:L101"/>
    <mergeCell ref="C133:F133"/>
    <mergeCell ref="B98:B101"/>
    <mergeCell ref="B107:B109"/>
    <mergeCell ref="B116:L116"/>
    <mergeCell ref="B102:B105"/>
    <mergeCell ref="J102:L105"/>
    <mergeCell ref="C127:F127"/>
    <mergeCell ref="J124:L124"/>
    <mergeCell ref="H117:I118"/>
    <mergeCell ref="H113:I113"/>
    <mergeCell ref="J113:L113"/>
    <mergeCell ref="C113:F115"/>
    <mergeCell ref="B123:L123"/>
    <mergeCell ref="J126:L126"/>
    <mergeCell ref="N2:N6"/>
    <mergeCell ref="J42:L43"/>
    <mergeCell ref="N33:N34"/>
    <mergeCell ref="J24:L30"/>
    <mergeCell ref="B37:L37"/>
    <mergeCell ref="B39:L39"/>
    <mergeCell ref="C44:F45"/>
    <mergeCell ref="J15:L15"/>
    <mergeCell ref="B31:L31"/>
    <mergeCell ref="C19:F19"/>
    <mergeCell ref="C32:F32"/>
    <mergeCell ref="J32:L32"/>
    <mergeCell ref="J17:L17"/>
    <mergeCell ref="B16:L16"/>
    <mergeCell ref="C28:F28"/>
    <mergeCell ref="C26:F26"/>
    <mergeCell ref="C33:F34"/>
    <mergeCell ref="J44:L45"/>
    <mergeCell ref="C30:F30"/>
    <mergeCell ref="C29:F29"/>
    <mergeCell ref="B20:L20"/>
    <mergeCell ref="J19:L19"/>
    <mergeCell ref="C18:F18"/>
    <mergeCell ref="J18:L18"/>
    <mergeCell ref="N107:N109"/>
    <mergeCell ref="G63:G64"/>
    <mergeCell ref="H65:I65"/>
    <mergeCell ref="H86:I86"/>
    <mergeCell ref="J67:L67"/>
    <mergeCell ref="J66:L66"/>
    <mergeCell ref="G77:G81"/>
    <mergeCell ref="J278:L278"/>
    <mergeCell ref="J277:L277"/>
    <mergeCell ref="J273:L273"/>
    <mergeCell ref="H241:I241"/>
    <mergeCell ref="H167:I167"/>
    <mergeCell ref="H85:I85"/>
    <mergeCell ref="J255:L256"/>
    <mergeCell ref="I73:I74"/>
    <mergeCell ref="H73:H74"/>
    <mergeCell ref="G73:G75"/>
    <mergeCell ref="J117:L117"/>
    <mergeCell ref="J112:L112"/>
    <mergeCell ref="J120:L120"/>
    <mergeCell ref="J128:L128"/>
    <mergeCell ref="J129:L129"/>
    <mergeCell ref="J110:L110"/>
    <mergeCell ref="H119:I120"/>
    <mergeCell ref="N44:N45"/>
    <mergeCell ref="B33:B34"/>
    <mergeCell ref="J33:L34"/>
    <mergeCell ref="B36:L36"/>
    <mergeCell ref="B38:L38"/>
    <mergeCell ref="B40:B41"/>
    <mergeCell ref="N103:N105"/>
    <mergeCell ref="I102:I105"/>
    <mergeCell ref="G102:G105"/>
    <mergeCell ref="C102:F105"/>
    <mergeCell ref="H102:H105"/>
    <mergeCell ref="I50:I51"/>
    <mergeCell ref="H50:H51"/>
    <mergeCell ref="G50:G51"/>
    <mergeCell ref="C50:F51"/>
    <mergeCell ref="I52:I53"/>
    <mergeCell ref="H52:H53"/>
    <mergeCell ref="G52:G53"/>
    <mergeCell ref="C52:F56"/>
    <mergeCell ref="I57:I58"/>
    <mergeCell ref="J69:L70"/>
    <mergeCell ref="G69:G70"/>
    <mergeCell ref="B63:B67"/>
    <mergeCell ref="C63:F67"/>
    <mergeCell ref="H57:H58"/>
    <mergeCell ref="G57:G58"/>
    <mergeCell ref="I59:I60"/>
    <mergeCell ref="G320:G321"/>
    <mergeCell ref="H320:H321"/>
    <mergeCell ref="B159:B160"/>
    <mergeCell ref="J267:L267"/>
    <mergeCell ref="H267:I267"/>
    <mergeCell ref="H211:I211"/>
    <mergeCell ref="B234:L234"/>
    <mergeCell ref="C232:F232"/>
    <mergeCell ref="J232:L232"/>
    <mergeCell ref="B255:B256"/>
    <mergeCell ref="I280:I285"/>
    <mergeCell ref="C267:F267"/>
    <mergeCell ref="C261:F263"/>
    <mergeCell ref="G261:G263"/>
    <mergeCell ref="H287:I287"/>
    <mergeCell ref="I268:I279"/>
    <mergeCell ref="B250:L250"/>
    <mergeCell ref="B138:F138"/>
    <mergeCell ref="J133:L133"/>
    <mergeCell ref="J134:L134"/>
    <mergeCell ref="J88:L95"/>
    <mergeCell ref="B140:B141"/>
    <mergeCell ref="C278:F278"/>
    <mergeCell ref="C271:F271"/>
    <mergeCell ref="C208:F213"/>
    <mergeCell ref="J203:L204"/>
    <mergeCell ref="I220:I221"/>
    <mergeCell ref="H213:I213"/>
    <mergeCell ref="J213:L213"/>
    <mergeCell ref="J208:L210"/>
    <mergeCell ref="C224:F229"/>
    <mergeCell ref="G243:G245"/>
    <mergeCell ref="H240:I240"/>
    <mergeCell ref="H205:I205"/>
    <mergeCell ref="G203:G204"/>
    <mergeCell ref="G208:G210"/>
    <mergeCell ref="J268:L268"/>
    <mergeCell ref="B266:L266"/>
    <mergeCell ref="C270:F270"/>
    <mergeCell ref="J271:L271"/>
    <mergeCell ref="I175:I176"/>
    <mergeCell ref="G175:G176"/>
    <mergeCell ref="C175:F176"/>
    <mergeCell ref="C268:F268"/>
    <mergeCell ref="J252:L254"/>
    <mergeCell ref="C356:H356"/>
    <mergeCell ref="C357:H357"/>
    <mergeCell ref="I353:L353"/>
    <mergeCell ref="I354:L354"/>
    <mergeCell ref="I355:L355"/>
    <mergeCell ref="J270:L270"/>
    <mergeCell ref="J276:L276"/>
    <mergeCell ref="C282:F282"/>
    <mergeCell ref="C277:F277"/>
    <mergeCell ref="J275:L275"/>
    <mergeCell ref="C279:F279"/>
    <mergeCell ref="C275:F275"/>
    <mergeCell ref="C353:H353"/>
    <mergeCell ref="C354:H354"/>
    <mergeCell ref="C355:H355"/>
    <mergeCell ref="B323:L323"/>
    <mergeCell ref="J314:L318"/>
    <mergeCell ref="J320:L321"/>
    <mergeCell ref="B322:L322"/>
    <mergeCell ref="B320:B321"/>
    <mergeCell ref="B329:L329"/>
    <mergeCell ref="I320:I321"/>
    <mergeCell ref="C307:F307"/>
    <mergeCell ref="C351:H351"/>
    <mergeCell ref="I360:L360"/>
    <mergeCell ref="I361:L361"/>
    <mergeCell ref="C360:H360"/>
    <mergeCell ref="C361:H361"/>
    <mergeCell ref="B380:I380"/>
    <mergeCell ref="B384:I384"/>
    <mergeCell ref="B386:G386"/>
    <mergeCell ref="H386:K386"/>
    <mergeCell ref="C358:H358"/>
    <mergeCell ref="B368:I368"/>
    <mergeCell ref="B370:I370"/>
    <mergeCell ref="B374:I374"/>
    <mergeCell ref="H378:K378"/>
    <mergeCell ref="B378:G378"/>
    <mergeCell ref="B382:L382"/>
    <mergeCell ref="B366:L366"/>
    <mergeCell ref="B376:L376"/>
    <mergeCell ref="C359:H359"/>
    <mergeCell ref="I358:L358"/>
    <mergeCell ref="I359:L359"/>
    <mergeCell ref="B397:L409"/>
    <mergeCell ref="B388:I388"/>
    <mergeCell ref="B390:G390"/>
    <mergeCell ref="B326:F326"/>
    <mergeCell ref="I350:L350"/>
    <mergeCell ref="C350:H350"/>
    <mergeCell ref="B334:F334"/>
    <mergeCell ref="B394:I394"/>
    <mergeCell ref="B396:G396"/>
    <mergeCell ref="C352:H352"/>
    <mergeCell ref="I352:L352"/>
    <mergeCell ref="B327:F327"/>
    <mergeCell ref="B364:I364"/>
    <mergeCell ref="B372:L372"/>
    <mergeCell ref="C349:H349"/>
    <mergeCell ref="I349:L349"/>
    <mergeCell ref="B340:L340"/>
    <mergeCell ref="C342:I342"/>
    <mergeCell ref="C343:I343"/>
    <mergeCell ref="B337:E337"/>
    <mergeCell ref="F337:K337"/>
    <mergeCell ref="H390:K390"/>
    <mergeCell ref="B392:I392"/>
    <mergeCell ref="B393:I393"/>
    <mergeCell ref="B2:L2"/>
    <mergeCell ref="H84:I84"/>
    <mergeCell ref="J84:L84"/>
    <mergeCell ref="B155:L155"/>
    <mergeCell ref="B96:L96"/>
    <mergeCell ref="J121:L121"/>
    <mergeCell ref="C125:F125"/>
    <mergeCell ref="J132:L132"/>
    <mergeCell ref="G237:G239"/>
    <mergeCell ref="G198:G199"/>
    <mergeCell ref="C23:F23"/>
    <mergeCell ref="J127:L127"/>
    <mergeCell ref="C128:F128"/>
    <mergeCell ref="C134:F134"/>
    <mergeCell ref="H132:I132"/>
    <mergeCell ref="C132:F132"/>
    <mergeCell ref="J145:L146"/>
    <mergeCell ref="C135:F135"/>
    <mergeCell ref="C136:F136"/>
    <mergeCell ref="G33:G34"/>
    <mergeCell ref="J135:L135"/>
    <mergeCell ref="G140:G141"/>
    <mergeCell ref="H138:I138"/>
    <mergeCell ref="C140:F141"/>
    <mergeCell ref="I351:L351"/>
    <mergeCell ref="B325:F325"/>
    <mergeCell ref="B348:L348"/>
    <mergeCell ref="B335:E335"/>
    <mergeCell ref="F335:K335"/>
    <mergeCell ref="C305:F305"/>
    <mergeCell ref="B324:F324"/>
    <mergeCell ref="H311:I311"/>
    <mergeCell ref="J311:L311"/>
    <mergeCell ref="H310:I310"/>
    <mergeCell ref="J310:L310"/>
    <mergeCell ref="C308:F312"/>
    <mergeCell ref="C320:F321"/>
    <mergeCell ref="I314:I315"/>
    <mergeCell ref="C314:F318"/>
    <mergeCell ref="G314:G318"/>
    <mergeCell ref="H314:H315"/>
    <mergeCell ref="C344:I344"/>
    <mergeCell ref="I356:L356"/>
    <mergeCell ref="I357:L357"/>
    <mergeCell ref="C341:I341"/>
    <mergeCell ref="B82:B86"/>
    <mergeCell ref="G71:G72"/>
    <mergeCell ref="H71:H72"/>
    <mergeCell ref="J269:L269"/>
    <mergeCell ref="B261:B263"/>
    <mergeCell ref="J261:L263"/>
    <mergeCell ref="I255:I256"/>
    <mergeCell ref="C255:F256"/>
    <mergeCell ref="G255:G256"/>
    <mergeCell ref="H255:H256"/>
    <mergeCell ref="I257:I259"/>
    <mergeCell ref="C257:F259"/>
    <mergeCell ref="G257:G259"/>
    <mergeCell ref="J257:L259"/>
    <mergeCell ref="B260:L260"/>
    <mergeCell ref="B264:L264"/>
    <mergeCell ref="B257:B259"/>
    <mergeCell ref="B265:L265"/>
    <mergeCell ref="C269:F269"/>
    <mergeCell ref="H257:H259"/>
    <mergeCell ref="H261:I262"/>
    <mergeCell ref="I71:I72"/>
    <mergeCell ref="C71:F72"/>
    <mergeCell ref="B76:L76"/>
    <mergeCell ref="B87:L87"/>
    <mergeCell ref="J86:L86"/>
    <mergeCell ref="H111:I111"/>
    <mergeCell ref="J111:L111"/>
    <mergeCell ref="H114:I114"/>
    <mergeCell ref="J114:L114"/>
    <mergeCell ref="J82:L83"/>
    <mergeCell ref="B97:L97"/>
    <mergeCell ref="B77:B81"/>
    <mergeCell ref="J85:L85"/>
    <mergeCell ref="J71:L72"/>
    <mergeCell ref="J73:L75"/>
    <mergeCell ref="B71:B72"/>
    <mergeCell ref="B73:B75"/>
    <mergeCell ref="C73:F75"/>
    <mergeCell ref="I77:I78"/>
    <mergeCell ref="C106:F106"/>
    <mergeCell ref="J106:L106"/>
    <mergeCell ref="B88:B95"/>
    <mergeCell ref="J107:L109"/>
    <mergeCell ref="B69:B70"/>
    <mergeCell ref="J40:L41"/>
    <mergeCell ref="B42:B43"/>
    <mergeCell ref="B44:B45"/>
    <mergeCell ref="G44:G45"/>
    <mergeCell ref="C61:F62"/>
    <mergeCell ref="G61:G62"/>
    <mergeCell ref="H61:H62"/>
    <mergeCell ref="I61:I62"/>
    <mergeCell ref="H42:H43"/>
    <mergeCell ref="G42:G43"/>
    <mergeCell ref="C46:F47"/>
    <mergeCell ref="I46:I47"/>
    <mergeCell ref="H46:H47"/>
    <mergeCell ref="G46:G47"/>
    <mergeCell ref="H40:H41"/>
    <mergeCell ref="I40:I41"/>
    <mergeCell ref="C68:F68"/>
    <mergeCell ref="J68:L68"/>
    <mergeCell ref="C69:F70"/>
    <mergeCell ref="C42:F43"/>
    <mergeCell ref="I42:I43"/>
    <mergeCell ref="H55:I55"/>
    <mergeCell ref="J55:L55"/>
    <mergeCell ref="J54:L54"/>
    <mergeCell ref="B48:B49"/>
    <mergeCell ref="C15:F15"/>
    <mergeCell ref="B24:B30"/>
    <mergeCell ref="C40:F41"/>
    <mergeCell ref="G40:G41"/>
    <mergeCell ref="I24:I25"/>
    <mergeCell ref="G24:G30"/>
    <mergeCell ref="C24:F25"/>
    <mergeCell ref="H24:H25"/>
    <mergeCell ref="H54:I54"/>
    <mergeCell ref="H17:I17"/>
    <mergeCell ref="B46:B47"/>
    <mergeCell ref="B52:B56"/>
    <mergeCell ref="J52:L53"/>
    <mergeCell ref="H67:I67"/>
    <mergeCell ref="J46:L47"/>
    <mergeCell ref="J48:L49"/>
    <mergeCell ref="B50:B51"/>
    <mergeCell ref="J50:L51"/>
    <mergeCell ref="B57:B58"/>
    <mergeCell ref="J57:L58"/>
    <mergeCell ref="J59:L60"/>
    <mergeCell ref="J61:L62"/>
    <mergeCell ref="B61:B62"/>
    <mergeCell ref="B59:B60"/>
    <mergeCell ref="C58:F58"/>
    <mergeCell ref="C48:F49"/>
    <mergeCell ref="I48:I49"/>
    <mergeCell ref="H48:H49"/>
    <mergeCell ref="G48:G49"/>
    <mergeCell ref="J63:L64"/>
    <mergeCell ref="J65:L65"/>
    <mergeCell ref="H66:I66"/>
    <mergeCell ref="C60:F60"/>
    <mergeCell ref="H59:H60"/>
    <mergeCell ref="G59:G60"/>
    <mergeCell ref="H56:I56"/>
    <mergeCell ref="J56:L56"/>
    <mergeCell ref="G13:G14"/>
    <mergeCell ref="B11:B12"/>
    <mergeCell ref="C11:F12"/>
    <mergeCell ref="I11:I12"/>
    <mergeCell ref="H11:H12"/>
    <mergeCell ref="J11:L12"/>
    <mergeCell ref="G11:G12"/>
    <mergeCell ref="I13:I14"/>
    <mergeCell ref="H13:H14"/>
    <mergeCell ref="F3:K3"/>
    <mergeCell ref="C27:F27"/>
    <mergeCell ref="C35:F35"/>
    <mergeCell ref="J35:L35"/>
    <mergeCell ref="J23:L23"/>
    <mergeCell ref="C6:F6"/>
    <mergeCell ref="B4:L4"/>
    <mergeCell ref="B7:L7"/>
    <mergeCell ref="B22:L22"/>
    <mergeCell ref="B21:L21"/>
    <mergeCell ref="C17:F17"/>
    <mergeCell ref="K5:L5"/>
    <mergeCell ref="C5:D5"/>
    <mergeCell ref="E5:F5"/>
    <mergeCell ref="G5:H5"/>
    <mergeCell ref="B8:L8"/>
    <mergeCell ref="B9:L9"/>
    <mergeCell ref="C14:F14"/>
    <mergeCell ref="C10:F10"/>
    <mergeCell ref="J10:L10"/>
    <mergeCell ref="J6:L6"/>
    <mergeCell ref="B13:B14"/>
    <mergeCell ref="C13:F13"/>
    <mergeCell ref="J13:L14"/>
    <mergeCell ref="C411:I411"/>
    <mergeCell ref="B319:L319"/>
    <mergeCell ref="B313:L313"/>
    <mergeCell ref="G308:G309"/>
    <mergeCell ref="J308:L309"/>
    <mergeCell ref="J286:L286"/>
    <mergeCell ref="H286:I286"/>
    <mergeCell ref="C296:F297"/>
    <mergeCell ref="B332:L332"/>
    <mergeCell ref="B298:L298"/>
    <mergeCell ref="J299:L300"/>
    <mergeCell ref="J301:L301"/>
    <mergeCell ref="B302:L302"/>
    <mergeCell ref="B299:B300"/>
    <mergeCell ref="C299:F300"/>
    <mergeCell ref="G299:G300"/>
    <mergeCell ref="C301:F301"/>
    <mergeCell ref="H312:I312"/>
    <mergeCell ref="C289:F289"/>
    <mergeCell ref="B314:B318"/>
    <mergeCell ref="G296:G297"/>
    <mergeCell ref="J306:L306"/>
    <mergeCell ref="B303:B304"/>
    <mergeCell ref="B285:B288"/>
    <mergeCell ref="J287:L287"/>
    <mergeCell ref="J282:L282"/>
    <mergeCell ref="C276:F276"/>
    <mergeCell ref="C274:F274"/>
    <mergeCell ref="C273:F273"/>
    <mergeCell ref="J283:L284"/>
    <mergeCell ref="G283:G284"/>
    <mergeCell ref="C280:F280"/>
    <mergeCell ref="J280:L280"/>
    <mergeCell ref="B251:L251"/>
    <mergeCell ref="C247:F247"/>
    <mergeCell ref="J243:L245"/>
    <mergeCell ref="J247:L247"/>
    <mergeCell ref="B236:L236"/>
    <mergeCell ref="B235:L235"/>
    <mergeCell ref="J279:L279"/>
    <mergeCell ref="J274:L274"/>
    <mergeCell ref="C272:F272"/>
    <mergeCell ref="J272:L272"/>
    <mergeCell ref="J173:L173"/>
    <mergeCell ref="H173:I173"/>
    <mergeCell ref="J163:L165"/>
    <mergeCell ref="B161:L161"/>
    <mergeCell ref="C163:F168"/>
    <mergeCell ref="C159:F160"/>
    <mergeCell ref="B252:B254"/>
    <mergeCell ref="C248:F249"/>
    <mergeCell ref="G248:G249"/>
    <mergeCell ref="H248:H249"/>
    <mergeCell ref="J240:L240"/>
    <mergeCell ref="J227:L227"/>
    <mergeCell ref="J237:L239"/>
    <mergeCell ref="J241:L241"/>
    <mergeCell ref="B248:B249"/>
    <mergeCell ref="J248:L249"/>
    <mergeCell ref="I248:I249"/>
    <mergeCell ref="B237:B242"/>
    <mergeCell ref="C237:F242"/>
    <mergeCell ref="H242:I242"/>
    <mergeCell ref="J242:L242"/>
    <mergeCell ref="C243:F245"/>
    <mergeCell ref="B243:B245"/>
    <mergeCell ref="B246:L246"/>
    <mergeCell ref="G153:G154"/>
    <mergeCell ref="C157:F158"/>
    <mergeCell ref="J140:L141"/>
    <mergeCell ref="J168:L168"/>
    <mergeCell ref="B174:L174"/>
    <mergeCell ref="H166:I166"/>
    <mergeCell ref="G163:G165"/>
    <mergeCell ref="J156:L156"/>
    <mergeCell ref="B163:B168"/>
    <mergeCell ref="J167:L167"/>
    <mergeCell ref="H168:I168"/>
    <mergeCell ref="B145:B146"/>
    <mergeCell ref="C145:F146"/>
    <mergeCell ref="G145:G146"/>
    <mergeCell ref="B171:L171"/>
    <mergeCell ref="H148:I148"/>
    <mergeCell ref="B157:B158"/>
    <mergeCell ref="B147:L147"/>
    <mergeCell ref="B152:L152"/>
    <mergeCell ref="J157:L158"/>
    <mergeCell ref="C156:F156"/>
    <mergeCell ref="K172:L172"/>
    <mergeCell ref="B172:F173"/>
    <mergeCell ref="G172:G173"/>
    <mergeCell ref="J136:L136"/>
    <mergeCell ref="C283:F284"/>
    <mergeCell ref="G291:G293"/>
    <mergeCell ref="B283:B284"/>
    <mergeCell ref="C291:F293"/>
    <mergeCell ref="H288:I288"/>
    <mergeCell ref="B291:B293"/>
    <mergeCell ref="J281:L281"/>
    <mergeCell ref="C281:F281"/>
    <mergeCell ref="J285:L285"/>
    <mergeCell ref="C285:F288"/>
    <mergeCell ref="H283:H284"/>
    <mergeCell ref="C194:F194"/>
    <mergeCell ref="C196:F196"/>
    <mergeCell ref="J196:L196"/>
    <mergeCell ref="J195:L195"/>
    <mergeCell ref="H194:H196"/>
    <mergeCell ref="J200:L200"/>
    <mergeCell ref="H202:I202"/>
    <mergeCell ref="J202:L202"/>
    <mergeCell ref="J198:L199"/>
    <mergeCell ref="H201:I201"/>
    <mergeCell ref="B153:B154"/>
    <mergeCell ref="C153:F154"/>
    <mergeCell ref="B294:B295"/>
    <mergeCell ref="C294:F295"/>
    <mergeCell ref="N291:N293"/>
    <mergeCell ref="N294:N295"/>
    <mergeCell ref="J288:L288"/>
    <mergeCell ref="N296:N297"/>
    <mergeCell ref="N299:N300"/>
    <mergeCell ref="N308:N309"/>
    <mergeCell ref="J303:L304"/>
    <mergeCell ref="J291:L293"/>
    <mergeCell ref="G294:G295"/>
    <mergeCell ref="B308:B312"/>
    <mergeCell ref="H296:H297"/>
    <mergeCell ref="J296:L297"/>
    <mergeCell ref="J305:L305"/>
    <mergeCell ref="J289:L289"/>
    <mergeCell ref="B290:L290"/>
    <mergeCell ref="B296:B297"/>
    <mergeCell ref="I303:I307"/>
    <mergeCell ref="C303:F304"/>
    <mergeCell ref="G303:G304"/>
    <mergeCell ref="H303:H304"/>
    <mergeCell ref="I296:I297"/>
    <mergeCell ref="C306:F306"/>
    <mergeCell ref="N315:N318"/>
    <mergeCell ref="J312:L312"/>
    <mergeCell ref="J294:L295"/>
    <mergeCell ref="J307:L307"/>
    <mergeCell ref="N11:N12"/>
    <mergeCell ref="N13:N14"/>
    <mergeCell ref="N283:N284"/>
    <mergeCell ref="N63:N64"/>
    <mergeCell ref="N69:N70"/>
    <mergeCell ref="N153:N154"/>
    <mergeCell ref="N157:N158"/>
    <mergeCell ref="N159:N160"/>
    <mergeCell ref="N163:N165"/>
    <mergeCell ref="N198:N199"/>
    <mergeCell ref="N203:N204"/>
    <mergeCell ref="N208:N210"/>
    <mergeCell ref="N145:N146"/>
    <mergeCell ref="N140:N141"/>
    <mergeCell ref="N224:N226"/>
    <mergeCell ref="N237:N239"/>
    <mergeCell ref="N243:N245"/>
    <mergeCell ref="N74:N75"/>
    <mergeCell ref="N258:N259"/>
    <mergeCell ref="N262:N263"/>
    <mergeCell ref="N221:N222"/>
    <mergeCell ref="N25:N30"/>
    <mergeCell ref="N78:N81"/>
    <mergeCell ref="C77:F81"/>
    <mergeCell ref="H77:H78"/>
    <mergeCell ref="J77:L81"/>
    <mergeCell ref="N215:N216"/>
    <mergeCell ref="I214:I216"/>
    <mergeCell ref="G214:G216"/>
    <mergeCell ref="C214:F219"/>
    <mergeCell ref="H214:H216"/>
    <mergeCell ref="I82:I83"/>
    <mergeCell ref="C82:F86"/>
    <mergeCell ref="G82:G83"/>
    <mergeCell ref="H82:H83"/>
    <mergeCell ref="N89:N95"/>
    <mergeCell ref="H88:I89"/>
    <mergeCell ref="C88:F95"/>
    <mergeCell ref="G88:G95"/>
    <mergeCell ref="N99:N101"/>
    <mergeCell ref="I98:I99"/>
    <mergeCell ref="G98:G101"/>
    <mergeCell ref="C98:F101"/>
    <mergeCell ref="G178:G179"/>
    <mergeCell ref="N253:N254"/>
    <mergeCell ref="H252:I253"/>
    <mergeCell ref="C252:F254"/>
    <mergeCell ref="G252:G254"/>
    <mergeCell ref="H98:H99"/>
    <mergeCell ref="H207:I207"/>
    <mergeCell ref="J207:L207"/>
    <mergeCell ref="H115:I115"/>
    <mergeCell ref="J115:L115"/>
    <mergeCell ref="C203:F207"/>
    <mergeCell ref="J119:L119"/>
    <mergeCell ref="G220:G222"/>
    <mergeCell ref="I178:I180"/>
    <mergeCell ref="H178:H180"/>
    <mergeCell ref="I181:I183"/>
    <mergeCell ref="I194:I196"/>
    <mergeCell ref="J194:L194"/>
    <mergeCell ref="C195:F195"/>
    <mergeCell ref="B197:L197"/>
    <mergeCell ref="C198:F202"/>
    <mergeCell ref="H149:I149"/>
    <mergeCell ref="B149:F149"/>
    <mergeCell ref="B193:L193"/>
    <mergeCell ref="B198:B202"/>
  </mergeCells>
  <conditionalFormatting sqref="B2 B3:L3">
    <cfRule type="expression" dxfId="1328" priority="3420">
      <formula>$B$2="PRELIMINARY SITE VISIT REPORT FINDINGS"</formula>
    </cfRule>
  </conditionalFormatting>
  <conditionalFormatting sqref="B7 B20 B233">
    <cfRule type="expression" dxfId="1327" priority="3430">
      <formula>$B7="Paramedic"</formula>
    </cfRule>
    <cfRule type="expression" dxfId="1326" priority="3431">
      <formula>$B7="AEMT"</formula>
    </cfRule>
  </conditionalFormatting>
  <conditionalFormatting sqref="B13:B15">
    <cfRule type="expression" dxfId="1325" priority="2967">
      <formula>B13="N/A"</formula>
    </cfRule>
  </conditionalFormatting>
  <conditionalFormatting sqref="B36">
    <cfRule type="expression" dxfId="1324" priority="845">
      <formula>$B36="AEMT"</formula>
    </cfRule>
    <cfRule type="expression" dxfId="1323" priority="844">
      <formula>$B36="Paramedic"</formula>
    </cfRule>
  </conditionalFormatting>
  <conditionalFormatting sqref="B140:B141">
    <cfRule type="expression" dxfId="1322" priority="2742">
      <formula>G138="N/A"</formula>
    </cfRule>
  </conditionalFormatting>
  <conditionalFormatting sqref="B143">
    <cfRule type="expression" dxfId="1321" priority="2732">
      <formula>G138="N/A"</formula>
    </cfRule>
  </conditionalFormatting>
  <conditionalFormatting sqref="B144">
    <cfRule type="expression" dxfId="1320" priority="2727">
      <formula>G138="N/A"</formula>
    </cfRule>
  </conditionalFormatting>
  <conditionalFormatting sqref="B145">
    <cfRule type="expression" dxfId="1319" priority="2721">
      <formula>G138="N/A"</formula>
    </cfRule>
  </conditionalFormatting>
  <conditionalFormatting sqref="B153:B154">
    <cfRule type="expression" dxfId="1318" priority="31">
      <formula>$B$153&lt;&gt;""</formula>
    </cfRule>
  </conditionalFormatting>
  <conditionalFormatting sqref="B156">
    <cfRule type="expression" dxfId="1317" priority="22">
      <formula>$B$156&lt;&gt;""</formula>
    </cfRule>
  </conditionalFormatting>
  <conditionalFormatting sqref="B157:B158">
    <cfRule type="expression" dxfId="1316" priority="16">
      <formula>$B$157&lt;&gt;""</formula>
    </cfRule>
  </conditionalFormatting>
  <conditionalFormatting sqref="B159:B160">
    <cfRule type="expression" dxfId="1315" priority="8">
      <formula>$B$159&lt;&gt;""</formula>
    </cfRule>
  </conditionalFormatting>
  <conditionalFormatting sqref="B175:B176">
    <cfRule type="expression" dxfId="1314" priority="138">
      <formula>$G$172="Yes"</formula>
    </cfRule>
    <cfRule type="expression" dxfId="1313" priority="118">
      <formula>$G$172="No"</formula>
    </cfRule>
  </conditionalFormatting>
  <conditionalFormatting sqref="B178:B179">
    <cfRule type="expression" dxfId="1312" priority="137">
      <formula>OR(G172="Yes",G172="No")</formula>
    </cfRule>
  </conditionalFormatting>
  <conditionalFormatting sqref="B178:B183">
    <cfRule type="expression" dxfId="1311" priority="161">
      <formula>G167="Yes"</formula>
    </cfRule>
  </conditionalFormatting>
  <conditionalFormatting sqref="B182">
    <cfRule type="expression" dxfId="1310" priority="744">
      <formula>G172="N/A"</formula>
    </cfRule>
  </conditionalFormatting>
  <conditionalFormatting sqref="B183">
    <cfRule type="expression" dxfId="1309" priority="113">
      <formula>OR(G172="Yes",G172="No")</formula>
    </cfRule>
    <cfRule type="expression" dxfId="1308" priority="151">
      <formula>G172="N/A"</formula>
    </cfRule>
  </conditionalFormatting>
  <conditionalFormatting sqref="B187">
    <cfRule type="expression" dxfId="1307" priority="783">
      <formula>G185="N/A"</formula>
    </cfRule>
  </conditionalFormatting>
  <conditionalFormatting sqref="B188">
    <cfRule type="expression" dxfId="1306" priority="748">
      <formula>G180="N/A"</formula>
    </cfRule>
  </conditionalFormatting>
  <conditionalFormatting sqref="B191">
    <cfRule type="expression" dxfId="1305" priority="4690">
      <formula>G178="N/A"</formula>
    </cfRule>
  </conditionalFormatting>
  <conditionalFormatting sqref="B195">
    <cfRule type="expression" dxfId="1304" priority="770">
      <formula>G185="N/A"</formula>
    </cfRule>
  </conditionalFormatting>
  <conditionalFormatting sqref="B264">
    <cfRule type="expression" dxfId="1303" priority="707">
      <formula>$B264="Paramedic"</formula>
    </cfRule>
    <cfRule type="expression" dxfId="1302" priority="708">
      <formula>$B264="AEMT"</formula>
    </cfRule>
  </conditionalFormatting>
  <conditionalFormatting sqref="B322">
    <cfRule type="expression" dxfId="1301" priority="700">
      <formula>$B322="Paramedic"</formula>
    </cfRule>
    <cfRule type="expression" dxfId="1300" priority="701">
      <formula>$B322="AEMT"</formula>
    </cfRule>
  </conditionalFormatting>
  <conditionalFormatting sqref="B329">
    <cfRule type="expression" dxfId="1299" priority="2385">
      <formula>G326="N/A"</formula>
    </cfRule>
    <cfRule type="expression" dxfId="1298" priority="2346">
      <formula>(OR(G324&lt;&gt;"N/A", G325&lt;&gt;"N/A", G326&lt;&gt;"N/A"))</formula>
    </cfRule>
  </conditionalFormatting>
  <conditionalFormatting sqref="B349">
    <cfRule type="expression" dxfId="1297" priority="2568">
      <formula>$B$332&lt;&gt;""</formula>
    </cfRule>
  </conditionalFormatting>
  <conditionalFormatting sqref="B178:C178 B180:G183 B175:C175 G178 I178 G175:I175">
    <cfRule type="expression" dxfId="1296" priority="477">
      <formula>$G$172="N/A"</formula>
    </cfRule>
  </conditionalFormatting>
  <conditionalFormatting sqref="B189:C189 G189 H190:I190 B191:C191 G191 H192:I192 B193:L196">
    <cfRule type="expression" dxfId="1295" priority="442">
      <formula>$G$185="Yes"</formula>
    </cfRule>
  </conditionalFormatting>
  <conditionalFormatting sqref="B149:F149">
    <cfRule type="expression" dxfId="1294" priority="77">
      <formula>$G$148="Yes"</formula>
    </cfRule>
  </conditionalFormatting>
  <conditionalFormatting sqref="B150:F151">
    <cfRule type="expression" dxfId="1293" priority="68">
      <formula>$B$150&lt;&gt;""</formula>
    </cfRule>
  </conditionalFormatting>
  <conditionalFormatting sqref="B327:F327">
    <cfRule type="expression" dxfId="1292" priority="2349">
      <formula>$G$326="Yes"</formula>
    </cfRule>
  </conditionalFormatting>
  <conditionalFormatting sqref="B4:L4 B6:L6">
    <cfRule type="expression" dxfId="1291" priority="3423">
      <formula>$B$2="PRELIMINARY SITE VISIT REPORT FINDINGS"</formula>
    </cfRule>
  </conditionalFormatting>
  <conditionalFormatting sqref="B5:L5">
    <cfRule type="expression" dxfId="1290" priority="3424">
      <formula>$B$2="PRELIMINARY SITE VISIT REPORT FINDINGS"</formula>
    </cfRule>
  </conditionalFormatting>
  <conditionalFormatting sqref="B7:L7 B20:L20 B36:L36 B233:L233">
    <cfRule type="expression" dxfId="1289" priority="843">
      <formula>$B$7="Select Program Level on the Cover Page tab"</formula>
    </cfRule>
  </conditionalFormatting>
  <conditionalFormatting sqref="B8:L8 B21:L21 B37:L37 B234:L234 B265:L265">
    <cfRule type="expression" dxfId="1288" priority="3427">
      <formula>$B$2="PRELIMINARY SITE VISIT REPORT FINDINGS"</formula>
    </cfRule>
  </conditionalFormatting>
  <conditionalFormatting sqref="B139:L139 B142:L142 B174:L174 B177:L177 B152:L152 B155:L155 B9:L9 B16:L16 B22:L22 B31:L31 B38:L39 B76:L76 B87:L87 B96:L97 B116:L116 B122:L123 B131:L131 B137:L137 B138:F138 B147:L147 B161:L162 B169:L169 B171:L171 B197:L197 B223:L223 B235:L236 B246:L246 B250:L251 B260:L260 B266:L266 B290:L290 B298:L298 B302:L302 B313:L313 B319:L319">
    <cfRule type="expression" dxfId="1287" priority="3426">
      <formula>$B$2="PRELIMINARY SITE VISIT REPORT FINDINGS"</formula>
    </cfRule>
  </conditionalFormatting>
  <conditionalFormatting sqref="B139:L139">
    <cfRule type="expression" dxfId="1286" priority="679">
      <formula>$G$138="N/A"</formula>
    </cfRule>
  </conditionalFormatting>
  <conditionalFormatting sqref="B139:L142 B145:L146 B143:I144">
    <cfRule type="expression" dxfId="1285" priority="693">
      <formula>$G$138="N/A"</formula>
    </cfRule>
  </conditionalFormatting>
  <conditionalFormatting sqref="B149:L160">
    <cfRule type="expression" dxfId="1284" priority="81">
      <formula>$G$148="No"</formula>
    </cfRule>
  </conditionalFormatting>
  <conditionalFormatting sqref="B150:L160">
    <cfRule type="expression" dxfId="1283" priority="64">
      <formula>$G$149="Yes"</formula>
    </cfRule>
  </conditionalFormatting>
  <conditionalFormatting sqref="B152:L152">
    <cfRule type="expression" dxfId="1282" priority="32">
      <formula>$B$152&lt;&gt;""</formula>
    </cfRule>
  </conditionalFormatting>
  <conditionalFormatting sqref="B155:L155">
    <cfRule type="expression" dxfId="1281" priority="23">
      <formula>$B$155&lt;&gt;""</formula>
    </cfRule>
  </conditionalFormatting>
  <conditionalFormatting sqref="B174:L174">
    <cfRule type="expression" dxfId="1280" priority="690">
      <formula>$G$172="N/A"</formula>
    </cfRule>
    <cfRule type="expression" dxfId="1279" priority="678">
      <formula>$G$172="N/A"</formula>
    </cfRule>
    <cfRule type="expression" dxfId="1278" priority="115">
      <formula>OR(G172="Yes",G172="No")</formula>
    </cfRule>
    <cfRule type="expression" dxfId="1277" priority="131">
      <formula>$G$172="Yes"</formula>
    </cfRule>
  </conditionalFormatting>
  <conditionalFormatting sqref="B177:L177">
    <cfRule type="expression" dxfId="1276" priority="162">
      <formula>OR(G172="Yes",G172="No")</formula>
    </cfRule>
    <cfRule type="expression" dxfId="1275" priority="471">
      <formula>$G$172="N/A"</formula>
    </cfRule>
  </conditionalFormatting>
  <conditionalFormatting sqref="B186:L186">
    <cfRule type="expression" dxfId="1274" priority="677">
      <formula>$G$185="N/A"</formula>
    </cfRule>
  </conditionalFormatting>
  <conditionalFormatting sqref="B186:L188">
    <cfRule type="expression" dxfId="1273" priority="685">
      <formula>$G$185="Yes"</formula>
    </cfRule>
  </conditionalFormatting>
  <conditionalFormatting sqref="B193:L193 B184:L184 B186:L186">
    <cfRule type="expression" dxfId="1272" priority="792">
      <formula>$B$2="PRELIMINARY SITE VISIT REPORT FINDINGS"</formula>
    </cfRule>
  </conditionalFormatting>
  <conditionalFormatting sqref="B193:L196">
    <cfRule type="expression" dxfId="1271" priority="675">
      <formula>$G$185="No"</formula>
    </cfRule>
    <cfRule type="expression" dxfId="1270" priority="674">
      <formula>$G$185=""</formula>
    </cfRule>
  </conditionalFormatting>
  <conditionalFormatting sqref="B264:L264">
    <cfRule type="expression" dxfId="1269" priority="702">
      <formula>$B$7="Select Program Level on the Cover Page tab"</formula>
    </cfRule>
  </conditionalFormatting>
  <conditionalFormatting sqref="B322:L322">
    <cfRule type="expression" dxfId="1268" priority="695">
      <formula>$B$7="Select Program Level on the Cover Page tab"</formula>
    </cfRule>
  </conditionalFormatting>
  <conditionalFormatting sqref="B332:L332">
    <cfRule type="expression" dxfId="1267" priority="2580">
      <formula>$B$332&lt;&gt;""</formula>
    </cfRule>
  </conditionalFormatting>
  <conditionalFormatting sqref="B340:L340">
    <cfRule type="expression" dxfId="1266" priority="2574">
      <formula>$B$332&lt;&gt;""</formula>
    </cfRule>
  </conditionalFormatting>
  <conditionalFormatting sqref="B348:L348">
    <cfRule type="expression" dxfId="1265" priority="2569">
      <formula>$B$332&lt;&gt;""</formula>
    </cfRule>
  </conditionalFormatting>
  <conditionalFormatting sqref="B366:L366">
    <cfRule type="expression" dxfId="1264" priority="2521">
      <formula>$J$364="No"</formula>
    </cfRule>
  </conditionalFormatting>
  <conditionalFormatting sqref="B372:L372">
    <cfRule type="expression" dxfId="1263" priority="2523">
      <formula>$J$370="No"</formula>
    </cfRule>
  </conditionalFormatting>
  <conditionalFormatting sqref="B376:L376">
    <cfRule type="expression" dxfId="1262" priority="2524">
      <formula>$J$374="No"</formula>
    </cfRule>
  </conditionalFormatting>
  <conditionalFormatting sqref="B382:L382">
    <cfRule type="expression" dxfId="1261" priority="2525">
      <formula>$J$380="No"</formula>
    </cfRule>
  </conditionalFormatting>
  <conditionalFormatting sqref="B397:L409">
    <cfRule type="expression" dxfId="1260" priority="795">
      <formula>$B$396&lt;&gt;""</formula>
    </cfRule>
  </conditionalFormatting>
  <conditionalFormatting sqref="C140:C141 F140:F141 D141:E141 C187 F187">
    <cfRule type="expression" dxfId="1259" priority="2741">
      <formula>G138="N/A"</formula>
    </cfRule>
  </conditionalFormatting>
  <conditionalFormatting sqref="C143 F143">
    <cfRule type="expression" dxfId="1258" priority="2731">
      <formula>G138="N/A"</formula>
    </cfRule>
  </conditionalFormatting>
  <conditionalFormatting sqref="C144 F144 C178 F156">
    <cfRule type="expression" dxfId="1257" priority="2726">
      <formula>G138="N/A"</formula>
    </cfRule>
  </conditionalFormatting>
  <conditionalFormatting sqref="C145 F145 F157">
    <cfRule type="expression" dxfId="1256" priority="2720">
      <formula>G138="N/A"</formula>
    </cfRule>
  </conditionalFormatting>
  <conditionalFormatting sqref="C175">
    <cfRule type="expression" dxfId="1255" priority="4715">
      <formula>G172="N/A"</formula>
    </cfRule>
  </conditionalFormatting>
  <conditionalFormatting sqref="C189">
    <cfRule type="expression" dxfId="1254" priority="4694">
      <formula>G180="No"</formula>
    </cfRule>
  </conditionalFormatting>
  <conditionalFormatting sqref="C411">
    <cfRule type="expression" dxfId="1253" priority="2522">
      <formula>$C$411&lt;&gt;""</formula>
    </cfRule>
  </conditionalFormatting>
  <conditionalFormatting sqref="C13:F14 C15">
    <cfRule type="expression" dxfId="1252" priority="2965">
      <formula>B13="N/A"</formula>
    </cfRule>
  </conditionalFormatting>
  <conditionalFormatting sqref="C14:F14">
    <cfRule type="expression" dxfId="1251" priority="4456">
      <formula>B13="N/A"</formula>
    </cfRule>
    <cfRule type="expression" dxfId="1250" priority="4457">
      <formula>LEFT($C11, 4)="I.B."</formula>
    </cfRule>
  </conditionalFormatting>
  <conditionalFormatting sqref="C175:F176">
    <cfRule type="expression" dxfId="1249" priority="136">
      <formula>OR($G$172="Yes",$G$172="No")</formula>
    </cfRule>
  </conditionalFormatting>
  <conditionalFormatting sqref="C178:F179">
    <cfRule type="expression" dxfId="1248" priority="135">
      <formula>OR(G172="Yes",G172="No")</formula>
    </cfRule>
  </conditionalFormatting>
  <conditionalFormatting sqref="C182:F182">
    <cfRule type="expression" dxfId="1247" priority="4723">
      <formula>G172="N/A"</formula>
    </cfRule>
  </conditionalFormatting>
  <conditionalFormatting sqref="C183:F183">
    <cfRule type="expression" dxfId="1246" priority="150">
      <formula>G172="N/A"</formula>
    </cfRule>
  </conditionalFormatting>
  <conditionalFormatting sqref="C188:F188">
    <cfRule type="expression" dxfId="1245" priority="747">
      <formula>G180="N/A"</formula>
    </cfRule>
  </conditionalFormatting>
  <conditionalFormatting sqref="C153:H154">
    <cfRule type="expression" dxfId="1244" priority="27">
      <formula>$C$153&lt;&gt;""</formula>
    </cfRule>
  </conditionalFormatting>
  <conditionalFormatting sqref="C156:H156">
    <cfRule type="expression" dxfId="1243" priority="19">
      <formula>$C$156&lt;&gt;""</formula>
    </cfRule>
  </conditionalFormatting>
  <conditionalFormatting sqref="C157:H158">
    <cfRule type="expression" dxfId="1242" priority="12">
      <formula>$C$157&lt;&gt;""</formula>
    </cfRule>
  </conditionalFormatting>
  <conditionalFormatting sqref="C159:H160">
    <cfRule type="expression" dxfId="1241" priority="4">
      <formula>$C$159&lt;&gt;""</formula>
    </cfRule>
  </conditionalFormatting>
  <conditionalFormatting sqref="C349:H349">
    <cfRule type="expression" dxfId="1240" priority="2567">
      <formula>$B$332&lt;&gt;""</formula>
    </cfRule>
  </conditionalFormatting>
  <conditionalFormatting sqref="C342:I344 K342:K344 C350:H350">
    <cfRule type="expression" dxfId="1239" priority="2564">
      <formula>$B$332&lt;&gt;""</formula>
    </cfRule>
  </conditionalFormatting>
  <conditionalFormatting sqref="E143">
    <cfRule type="expression" dxfId="1238" priority="4462">
      <formula>H138="N/A"</formula>
    </cfRule>
  </conditionalFormatting>
  <conditionalFormatting sqref="E144">
    <cfRule type="expression" dxfId="1237" priority="4465">
      <formula>H138="N/A"</formula>
    </cfRule>
  </conditionalFormatting>
  <conditionalFormatting sqref="E145">
    <cfRule type="expression" dxfId="1236" priority="4468">
      <formula>H138="N/A"</formula>
    </cfRule>
  </conditionalFormatting>
  <conditionalFormatting sqref="E156">
    <cfRule type="expression" dxfId="1235" priority="4839">
      <formula>H148="N/A"</formula>
    </cfRule>
  </conditionalFormatting>
  <conditionalFormatting sqref="E157">
    <cfRule type="expression" dxfId="1234" priority="4800">
      <formula>H148="N/A"</formula>
    </cfRule>
  </conditionalFormatting>
  <conditionalFormatting sqref="E159">
    <cfRule type="expression" dxfId="1233" priority="4476">
      <formula>H148="N/A"</formula>
    </cfRule>
  </conditionalFormatting>
  <conditionalFormatting sqref="E187">
    <cfRule type="expression" dxfId="1232" priority="4478">
      <formula>H185="N/A"</formula>
    </cfRule>
  </conditionalFormatting>
  <conditionalFormatting sqref="E194">
    <cfRule type="expression" dxfId="1231" priority="4512">
      <formula>H185="N/A"</formula>
    </cfRule>
  </conditionalFormatting>
  <conditionalFormatting sqref="E195">
    <cfRule type="expression" dxfId="1230" priority="4507">
      <formula>H185="N/A"</formula>
    </cfRule>
  </conditionalFormatting>
  <conditionalFormatting sqref="E196">
    <cfRule type="expression" dxfId="1229" priority="4487">
      <formula>H185="N/A"</formula>
    </cfRule>
  </conditionalFormatting>
  <conditionalFormatting sqref="F335:K335">
    <cfRule type="expression" dxfId="1228" priority="808">
      <formula>$B$332&lt;&gt;""</formula>
    </cfRule>
  </conditionalFormatting>
  <conditionalFormatting sqref="F337:K337">
    <cfRule type="expression" dxfId="1227" priority="2577">
      <formula>$G$334="No"</formula>
    </cfRule>
  </conditionalFormatting>
  <conditionalFormatting sqref="G13 G15 G322 G11 G42 G44 G61 G63 G320">
    <cfRule type="cellIs" dxfId="1226" priority="3282" operator="equal">
      <formula>"Met"</formula>
    </cfRule>
  </conditionalFormatting>
  <conditionalFormatting sqref="G13:G15">
    <cfRule type="expression" dxfId="1225" priority="2963">
      <formula>B13="N/A"</formula>
    </cfRule>
  </conditionalFormatting>
  <conditionalFormatting sqref="G17:G19">
    <cfRule type="cellIs" dxfId="1224" priority="3280" operator="equal">
      <formula>"Met"</formula>
    </cfRule>
  </conditionalFormatting>
  <conditionalFormatting sqref="G23:G24 G32:G33 G110:G115">
    <cfRule type="cellIs" dxfId="1223" priority="3284" operator="equal">
      <formula>"Met"</formula>
    </cfRule>
  </conditionalFormatting>
  <conditionalFormatting sqref="G35">
    <cfRule type="cellIs" dxfId="1222" priority="3274" operator="equal">
      <formula>"Met"</formula>
    </cfRule>
  </conditionalFormatting>
  <conditionalFormatting sqref="G40">
    <cfRule type="cellIs" dxfId="1221" priority="3264" operator="equal">
      <formula>"Met"</formula>
    </cfRule>
  </conditionalFormatting>
  <conditionalFormatting sqref="G46 G48 G50 G52 G54:G57 G59">
    <cfRule type="cellIs" dxfId="1220" priority="955" operator="equal">
      <formula>"Met"</formula>
    </cfRule>
  </conditionalFormatting>
  <conditionalFormatting sqref="G54:G57">
    <cfRule type="cellIs" dxfId="1219" priority="757" operator="equal">
      <formula>"Not Met"</formula>
    </cfRule>
  </conditionalFormatting>
  <conditionalFormatting sqref="G65:G67">
    <cfRule type="cellIs" dxfId="1218" priority="1003" operator="equal">
      <formula>"Not Met"</formula>
    </cfRule>
  </conditionalFormatting>
  <conditionalFormatting sqref="G65:G69">
    <cfRule type="cellIs" dxfId="1217" priority="810" operator="equal">
      <formula>"Met"</formula>
    </cfRule>
  </conditionalFormatting>
  <conditionalFormatting sqref="G71:G72">
    <cfRule type="expression" dxfId="1216" priority="97">
      <formula>$G$71="Met"</formula>
    </cfRule>
    <cfRule type="expression" dxfId="1215" priority="99">
      <formula>$G$71="Not Met"</formula>
    </cfRule>
  </conditionalFormatting>
  <conditionalFormatting sqref="G73:G75">
    <cfRule type="expression" dxfId="1214" priority="96">
      <formula>$G$73="Met"</formula>
    </cfRule>
    <cfRule type="expression" dxfId="1213" priority="98">
      <formula>$G$73="Not Met"</formula>
    </cfRule>
  </conditionalFormatting>
  <conditionalFormatting sqref="G77">
    <cfRule type="expression" dxfId="1212" priority="4671">
      <formula>$G$77="Not Met"</formula>
    </cfRule>
    <cfRule type="expression" dxfId="1211" priority="4670">
      <formula>$G$77="Met"</formula>
    </cfRule>
  </conditionalFormatting>
  <conditionalFormatting sqref="G82:G83">
    <cfRule type="expression" dxfId="1210" priority="94">
      <formula>$G$82="Not Met"</formula>
    </cfRule>
    <cfRule type="expression" dxfId="1209" priority="95">
      <formula>$G$82="Met"</formula>
    </cfRule>
  </conditionalFormatting>
  <conditionalFormatting sqref="G88">
    <cfRule type="cellIs" dxfId="1208" priority="3227" operator="equal">
      <formula>"Not Met"</formula>
    </cfRule>
    <cfRule type="cellIs" dxfId="1207" priority="3226" operator="equal">
      <formula>"Met"</formula>
    </cfRule>
  </conditionalFormatting>
  <conditionalFormatting sqref="G98">
    <cfRule type="cellIs" dxfId="1206" priority="3224" operator="equal">
      <formula>"Met"</formula>
    </cfRule>
  </conditionalFormatting>
  <conditionalFormatting sqref="G102">
    <cfRule type="cellIs" dxfId="1205" priority="3220" operator="equal">
      <formula>"Met"</formula>
    </cfRule>
  </conditionalFormatting>
  <conditionalFormatting sqref="G106:G107">
    <cfRule type="cellIs" dxfId="1204" priority="2754" operator="equal">
      <formula>"Met"</formula>
    </cfRule>
  </conditionalFormatting>
  <conditionalFormatting sqref="G110:G115">
    <cfRule type="cellIs" dxfId="1203" priority="982" operator="equal">
      <formula>"Not Met"</formula>
    </cfRule>
  </conditionalFormatting>
  <conditionalFormatting sqref="G117:G121">
    <cfRule type="cellIs" dxfId="1202" priority="2520" operator="equal">
      <formula>"Not Met"</formula>
    </cfRule>
    <cfRule type="cellIs" dxfId="1201" priority="2519" operator="equal">
      <formula>"Met"</formula>
    </cfRule>
  </conditionalFormatting>
  <conditionalFormatting sqref="G124:G130">
    <cfRule type="cellIs" dxfId="1200" priority="2844" operator="equal">
      <formula>"Met"</formula>
    </cfRule>
  </conditionalFormatting>
  <conditionalFormatting sqref="G132">
    <cfRule type="cellIs" dxfId="1199" priority="2518" operator="equal">
      <formula>"Not Met"</formula>
    </cfRule>
  </conditionalFormatting>
  <conditionalFormatting sqref="G132:G136">
    <cfRule type="cellIs" dxfId="1198" priority="2517" operator="equal">
      <formula>"Met"</formula>
    </cfRule>
  </conditionalFormatting>
  <conditionalFormatting sqref="G140">
    <cfRule type="cellIs" dxfId="1197" priority="2885" operator="equal">
      <formula>"Met"</formula>
    </cfRule>
    <cfRule type="cellIs" dxfId="1196" priority="2886" operator="equal">
      <formula>"Not Met"</formula>
    </cfRule>
  </conditionalFormatting>
  <conditionalFormatting sqref="G140:G141">
    <cfRule type="expression" dxfId="1195" priority="2740">
      <formula>G138="N/A"</formula>
    </cfRule>
  </conditionalFormatting>
  <conditionalFormatting sqref="G143">
    <cfRule type="expression" dxfId="1194" priority="2730">
      <formula>G138="N/A"</formula>
    </cfRule>
  </conditionalFormatting>
  <conditionalFormatting sqref="G143:G145">
    <cfRule type="cellIs" dxfId="1193" priority="2872" operator="equal">
      <formula>"Met"</formula>
    </cfRule>
    <cfRule type="cellIs" dxfId="1192" priority="2873" operator="equal">
      <formula>"Not Met"</formula>
    </cfRule>
  </conditionalFormatting>
  <conditionalFormatting sqref="G144">
    <cfRule type="expression" dxfId="1191" priority="2725">
      <formula>G138="N/A"</formula>
    </cfRule>
  </conditionalFormatting>
  <conditionalFormatting sqref="G145">
    <cfRule type="expression" dxfId="1190" priority="2719">
      <formula>G138="N/A"</formula>
    </cfRule>
  </conditionalFormatting>
  <conditionalFormatting sqref="G149">
    <cfRule type="expression" dxfId="1189" priority="83">
      <formula>$B$149&lt;&gt;""</formula>
    </cfRule>
  </conditionalFormatting>
  <conditionalFormatting sqref="G150:G151">
    <cfRule type="expression" dxfId="1188" priority="67">
      <formula>$G$150="No"</formula>
    </cfRule>
    <cfRule type="expression" dxfId="1187" priority="69">
      <formula>$B$150&lt;&gt;""</formula>
    </cfRule>
  </conditionalFormatting>
  <conditionalFormatting sqref="G153">
    <cfRule type="cellIs" dxfId="1186" priority="2830" operator="equal">
      <formula>"Met"</formula>
    </cfRule>
  </conditionalFormatting>
  <conditionalFormatting sqref="G156:G157 G159">
    <cfRule type="cellIs" dxfId="1185" priority="2818" operator="equal">
      <formula>"Not Met"</formula>
    </cfRule>
    <cfRule type="cellIs" dxfId="1184" priority="2817" operator="equal">
      <formula>"Met"</formula>
    </cfRule>
  </conditionalFormatting>
  <conditionalFormatting sqref="G163">
    <cfRule type="cellIs" dxfId="1183" priority="3180" operator="equal">
      <formula>"Met"</formula>
    </cfRule>
    <cfRule type="cellIs" dxfId="1182" priority="3181" operator="equal">
      <formula>"Not Met"</formula>
    </cfRule>
  </conditionalFormatting>
  <conditionalFormatting sqref="G166:G168">
    <cfRule type="cellIs" dxfId="1181" priority="1005" operator="equal">
      <formula>"Met"</formula>
    </cfRule>
    <cfRule type="cellIs" dxfId="1180" priority="1006" operator="equal">
      <formula>"Not Met"</formula>
    </cfRule>
  </conditionalFormatting>
  <conditionalFormatting sqref="G170">
    <cfRule type="cellIs" dxfId="1179" priority="3176" operator="equal">
      <formula>"Met"</formula>
    </cfRule>
  </conditionalFormatting>
  <conditionalFormatting sqref="G172:G173">
    <cfRule type="expression" dxfId="1178" priority="110">
      <formula>$G$172="No"</formula>
    </cfRule>
  </conditionalFormatting>
  <conditionalFormatting sqref="G175">
    <cfRule type="expression" dxfId="1177" priority="4727">
      <formula>G175="Met"</formula>
    </cfRule>
    <cfRule type="expression" dxfId="1176" priority="4498">
      <formula>G172="N/A"</formula>
    </cfRule>
  </conditionalFormatting>
  <conditionalFormatting sqref="G175:G176">
    <cfRule type="expression" dxfId="1175" priority="117">
      <formula>OR(G172="Yes",G172="No")</formula>
    </cfRule>
  </conditionalFormatting>
  <conditionalFormatting sqref="G176">
    <cfRule type="expression" dxfId="1174" priority="170">
      <formula>G176="Met"</formula>
    </cfRule>
  </conditionalFormatting>
  <conditionalFormatting sqref="G178">
    <cfRule type="expression" dxfId="1173" priority="2696">
      <formula>G172="N/A"</formula>
    </cfRule>
  </conditionalFormatting>
  <conditionalFormatting sqref="G178:G179">
    <cfRule type="expression" dxfId="1172" priority="134">
      <formula>OR(G172="Yes",G172="No")</formula>
    </cfRule>
  </conditionalFormatting>
  <conditionalFormatting sqref="G178:G183">
    <cfRule type="expression" dxfId="1171" priority="107">
      <formula>$G178="Met"</formula>
    </cfRule>
    <cfRule type="expression" dxfId="1170" priority="108">
      <formula>$G178="Not Met"</formula>
    </cfRule>
  </conditionalFormatting>
  <conditionalFormatting sqref="G183">
    <cfRule type="expression" dxfId="1169" priority="149">
      <formula>G172="N/A"</formula>
    </cfRule>
  </conditionalFormatting>
  <conditionalFormatting sqref="G187">
    <cfRule type="cellIs" dxfId="1168" priority="786" operator="equal">
      <formula>"Met"</formula>
    </cfRule>
    <cfRule type="expression" dxfId="1167" priority="781">
      <formula>G185="N/A"</formula>
    </cfRule>
  </conditionalFormatting>
  <conditionalFormatting sqref="G188">
    <cfRule type="expression" dxfId="1166" priority="746">
      <formula>G180="N/A"</formula>
    </cfRule>
  </conditionalFormatting>
  <conditionalFormatting sqref="G188:G189 G191">
    <cfRule type="cellIs" dxfId="1165" priority="750" operator="equal">
      <formula>"Not Met"</formula>
    </cfRule>
    <cfRule type="cellIs" dxfId="1164" priority="749" operator="equal">
      <formula>"Met"</formula>
    </cfRule>
  </conditionalFormatting>
  <conditionalFormatting sqref="G194">
    <cfRule type="expression" dxfId="1163" priority="772">
      <formula>G185="N/A"</formula>
    </cfRule>
  </conditionalFormatting>
  <conditionalFormatting sqref="G194:G196">
    <cfRule type="cellIs" dxfId="1162" priority="2783" operator="equal">
      <formula>"Not Met"</formula>
    </cfRule>
    <cfRule type="cellIs" dxfId="1161" priority="2782" operator="equal">
      <formula>"Met"</formula>
    </cfRule>
  </conditionalFormatting>
  <conditionalFormatting sqref="G195 G182">
    <cfRule type="expression" dxfId="1160" priority="768">
      <formula>G172="N/A"</formula>
    </cfRule>
  </conditionalFormatting>
  <conditionalFormatting sqref="G198">
    <cfRule type="cellIs" dxfId="1159" priority="3170" operator="equal">
      <formula>"Met"</formula>
    </cfRule>
  </conditionalFormatting>
  <conditionalFormatting sqref="G200:G208">
    <cfRule type="cellIs" dxfId="1158" priority="966" operator="equal">
      <formula>"Met"</formula>
    </cfRule>
    <cfRule type="cellIs" dxfId="1157" priority="967" operator="equal">
      <formula>"Not Met"</formula>
    </cfRule>
  </conditionalFormatting>
  <conditionalFormatting sqref="G211:G214">
    <cfRule type="cellIs" dxfId="1156" priority="977" operator="equal">
      <formula>"Not Met"</formula>
    </cfRule>
    <cfRule type="cellIs" dxfId="1155" priority="976" operator="equal">
      <formula>"Met"</formula>
    </cfRule>
  </conditionalFormatting>
  <conditionalFormatting sqref="G217:G220">
    <cfRule type="cellIs" dxfId="1154" priority="940" operator="equal">
      <formula>"Met"</formula>
    </cfRule>
    <cfRule type="cellIs" dxfId="1153" priority="941" operator="equal">
      <formula>"Not Met"</formula>
    </cfRule>
  </conditionalFormatting>
  <conditionalFormatting sqref="G224">
    <cfRule type="cellIs" dxfId="1152" priority="3162" operator="equal">
      <formula>"Met"</formula>
    </cfRule>
  </conditionalFormatting>
  <conditionalFormatting sqref="G227:G229">
    <cfRule type="cellIs" dxfId="1151" priority="959" operator="equal">
      <formula>"Not Met"</formula>
    </cfRule>
  </conditionalFormatting>
  <conditionalFormatting sqref="G227:G233">
    <cfRule type="cellIs" dxfId="1150" priority="958" operator="equal">
      <formula>"Met"</formula>
    </cfRule>
  </conditionalFormatting>
  <conditionalFormatting sqref="G237">
    <cfRule type="cellIs" dxfId="1149" priority="3155" operator="equal">
      <formula>"Not Met"</formula>
    </cfRule>
    <cfRule type="cellIs" dxfId="1148" priority="3154" operator="equal">
      <formula>"Met"</formula>
    </cfRule>
  </conditionalFormatting>
  <conditionalFormatting sqref="G240:G243">
    <cfRule type="cellIs" dxfId="1147" priority="935" operator="equal">
      <formula>"Met"</formula>
    </cfRule>
    <cfRule type="cellIs" dxfId="1146" priority="936" operator="equal">
      <formula>"Not Met"</formula>
    </cfRule>
  </conditionalFormatting>
  <conditionalFormatting sqref="G247:G248">
    <cfRule type="cellIs" dxfId="1145" priority="2772" operator="equal">
      <formula>"Met"</formula>
    </cfRule>
  </conditionalFormatting>
  <conditionalFormatting sqref="G252">
    <cfRule type="cellIs" dxfId="1144" priority="1037" operator="equal">
      <formula>"Not Met"</formula>
    </cfRule>
    <cfRule type="cellIs" dxfId="1143" priority="1038" operator="equal">
      <formula>"Met"</formula>
    </cfRule>
  </conditionalFormatting>
  <conditionalFormatting sqref="G255 G257">
    <cfRule type="cellIs" dxfId="1142" priority="1029" operator="equal">
      <formula>"Met"</formula>
    </cfRule>
  </conditionalFormatting>
  <conditionalFormatting sqref="G261">
    <cfRule type="cellIs" dxfId="1141" priority="1024" operator="equal">
      <formula>"Not Met"</formula>
    </cfRule>
    <cfRule type="cellIs" dxfId="1140" priority="1023" operator="equal">
      <formula>"Met"</formula>
    </cfRule>
  </conditionalFormatting>
  <conditionalFormatting sqref="G264">
    <cfRule type="cellIs" dxfId="1139" priority="703" operator="equal">
      <formula>"Met"</formula>
    </cfRule>
  </conditionalFormatting>
  <conditionalFormatting sqref="G267:G283">
    <cfRule type="cellIs" dxfId="1138" priority="3116" operator="equal">
      <formula>"Met"</formula>
    </cfRule>
    <cfRule type="cellIs" dxfId="1137" priority="3117" operator="equal">
      <formula>"Not Met"</formula>
    </cfRule>
  </conditionalFormatting>
  <conditionalFormatting sqref="G285:G288">
    <cfRule type="cellIs" dxfId="1136" priority="928" operator="equal">
      <formula>"Not Met"</formula>
    </cfRule>
  </conditionalFormatting>
  <conditionalFormatting sqref="G285:G289">
    <cfRule type="cellIs" dxfId="1135" priority="927" operator="equal">
      <formula>"Met"</formula>
    </cfRule>
  </conditionalFormatting>
  <conditionalFormatting sqref="G291">
    <cfRule type="cellIs" dxfId="1134" priority="3112" operator="equal">
      <formula>"Met"</formula>
    </cfRule>
  </conditionalFormatting>
  <conditionalFormatting sqref="G294">
    <cfRule type="cellIs" dxfId="1133" priority="3110" operator="equal">
      <formula>"Met"</formula>
    </cfRule>
  </conditionalFormatting>
  <conditionalFormatting sqref="G296">
    <cfRule type="cellIs" dxfId="1132" priority="2762" operator="equal">
      <formula>"Met"</formula>
    </cfRule>
  </conditionalFormatting>
  <conditionalFormatting sqref="G299">
    <cfRule type="cellIs" dxfId="1131" priority="3108" operator="equal">
      <formula>"Met"</formula>
    </cfRule>
    <cfRule type="cellIs" dxfId="1130" priority="3109" operator="equal">
      <formula>"Not Met"</formula>
    </cfRule>
  </conditionalFormatting>
  <conditionalFormatting sqref="G301">
    <cfRule type="cellIs" dxfId="1129" priority="3106" operator="equal">
      <formula>"Met"</formula>
    </cfRule>
    <cfRule type="cellIs" dxfId="1128" priority="3107" operator="equal">
      <formula>"Not Met"</formula>
    </cfRule>
  </conditionalFormatting>
  <conditionalFormatting sqref="G303:G309">
    <cfRule type="expression" dxfId="1127" priority="109">
      <formula>$G303="Not Met"</formula>
    </cfRule>
    <cfRule type="expression" dxfId="1126" priority="93">
      <formula>$G303="Met"</formula>
    </cfRule>
  </conditionalFormatting>
  <conditionalFormatting sqref="G310:G312">
    <cfRule type="cellIs" dxfId="1125" priority="923" operator="equal">
      <formula>"Not Met"</formula>
    </cfRule>
    <cfRule type="cellIs" dxfId="1124" priority="922" operator="equal">
      <formula>"Met"</formula>
    </cfRule>
  </conditionalFormatting>
  <conditionalFormatting sqref="G314">
    <cfRule type="cellIs" dxfId="1123" priority="3094" operator="equal">
      <formula>"Met"</formula>
    </cfRule>
  </conditionalFormatting>
  <conditionalFormatting sqref="G324:G326">
    <cfRule type="expression" dxfId="1122" priority="1018">
      <formula>$G$326="N/A"</formula>
    </cfRule>
  </conditionalFormatting>
  <conditionalFormatting sqref="G327">
    <cfRule type="expression" dxfId="1121" priority="2350">
      <formula>G326="Yes"</formula>
    </cfRule>
  </conditionalFormatting>
  <conditionalFormatting sqref="G334">
    <cfRule type="expression" dxfId="1120" priority="809">
      <formula>$B$332&lt;&gt;""</formula>
    </cfRule>
  </conditionalFormatting>
  <conditionalFormatting sqref="G13:H13 G15:H15 H11">
    <cfRule type="cellIs" dxfId="1119" priority="2970" operator="equal">
      <formula>"Not Met"</formula>
    </cfRule>
  </conditionalFormatting>
  <conditionalFormatting sqref="G17:H19">
    <cfRule type="cellIs" dxfId="1118" priority="2958" operator="equal">
      <formula>"Not Met"</formula>
    </cfRule>
  </conditionalFormatting>
  <conditionalFormatting sqref="G23:H24">
    <cfRule type="cellIs" dxfId="1117" priority="829" operator="equal">
      <formula>"Not Met"</formula>
    </cfRule>
  </conditionalFormatting>
  <conditionalFormatting sqref="G32:H34 H32:H35 G35">
    <cfRule type="cellIs" dxfId="1116" priority="3285" operator="equal">
      <formula>"Not Met"</formula>
    </cfRule>
  </conditionalFormatting>
  <conditionalFormatting sqref="G42:H42 H44:H46 G46">
    <cfRule type="cellIs" dxfId="1115" priority="2848" operator="equal">
      <formula>"Not Met"</formula>
    </cfRule>
  </conditionalFormatting>
  <conditionalFormatting sqref="G48:H48">
    <cfRule type="cellIs" dxfId="1114" priority="241" operator="equal">
      <formula>"Not Met"</formula>
    </cfRule>
  </conditionalFormatting>
  <conditionalFormatting sqref="G50:H50">
    <cfRule type="cellIs" dxfId="1113" priority="238" operator="equal">
      <formula>"Not Met"</formula>
    </cfRule>
  </conditionalFormatting>
  <conditionalFormatting sqref="G52:H52">
    <cfRule type="cellIs" dxfId="1112" priority="235" operator="equal">
      <formula>"Not Met"</formula>
    </cfRule>
  </conditionalFormatting>
  <conditionalFormatting sqref="G59:H59">
    <cfRule type="cellIs" dxfId="1111" priority="230" operator="equal">
      <formula>"Not Met"</formula>
    </cfRule>
  </conditionalFormatting>
  <conditionalFormatting sqref="G68:H68">
    <cfRule type="cellIs" dxfId="1110" priority="815" operator="equal">
      <formula>"Not Met"</formula>
    </cfRule>
  </conditionalFormatting>
  <conditionalFormatting sqref="G69:H69">
    <cfRule type="cellIs" dxfId="1109" priority="3251" operator="equal">
      <formula>"Not Met"</formula>
    </cfRule>
  </conditionalFormatting>
  <conditionalFormatting sqref="G98:H98">
    <cfRule type="cellIs" dxfId="1108" priority="3225" operator="equal">
      <formula>"Not Met"</formula>
    </cfRule>
  </conditionalFormatting>
  <conditionalFormatting sqref="G106:H106">
    <cfRule type="cellIs" dxfId="1107" priority="3217" operator="equal">
      <formula>"Not Met"</formula>
    </cfRule>
  </conditionalFormatting>
  <conditionalFormatting sqref="G107:H107">
    <cfRule type="cellIs" dxfId="1106" priority="2751" operator="equal">
      <formula>"Not Met"</formula>
    </cfRule>
  </conditionalFormatting>
  <conditionalFormatting sqref="G124:H125">
    <cfRule type="cellIs" dxfId="1105" priority="3199" operator="equal">
      <formula>"Not Met"</formula>
    </cfRule>
  </conditionalFormatting>
  <conditionalFormatting sqref="G126:H130">
    <cfRule type="cellIs" dxfId="1104" priority="2841" operator="equal">
      <formula>"Not Met"</formula>
    </cfRule>
  </conditionalFormatting>
  <conditionalFormatting sqref="G133:H136">
    <cfRule type="cellIs" dxfId="1103" priority="2896" operator="equal">
      <formula>"Not Met"</formula>
    </cfRule>
  </conditionalFormatting>
  <conditionalFormatting sqref="G153:H153">
    <cfRule type="cellIs" dxfId="1102" priority="2827" operator="equal">
      <formula>"Not Met"</formula>
    </cfRule>
  </conditionalFormatting>
  <conditionalFormatting sqref="G170:H170">
    <cfRule type="cellIs" dxfId="1101" priority="3177" operator="equal">
      <formula>"Not Met"</formula>
    </cfRule>
  </conditionalFormatting>
  <conditionalFormatting sqref="G175:H175 G40:H40 G61:H61 G63:H63 H75 G322:H322 G10:G11 G44 G102 G255:H255 G320:H320">
    <cfRule type="cellIs" dxfId="1100" priority="3283" operator="equal">
      <formula>"Not Met"</formula>
    </cfRule>
  </conditionalFormatting>
  <conditionalFormatting sqref="G187:H187">
    <cfRule type="cellIs" dxfId="1099" priority="785" operator="equal">
      <formula>"Not Met"</formula>
    </cfRule>
  </conditionalFormatting>
  <conditionalFormatting sqref="G198:H198">
    <cfRule type="cellIs" dxfId="1098" priority="3171" operator="equal">
      <formula>"Not Met"</formula>
    </cfRule>
  </conditionalFormatting>
  <conditionalFormatting sqref="G230:H233 G224:H224">
    <cfRule type="cellIs" dxfId="1097" priority="2907" operator="equal">
      <formula>"Not Met"</formula>
    </cfRule>
  </conditionalFormatting>
  <conditionalFormatting sqref="G247:H248">
    <cfRule type="cellIs" dxfId="1096" priority="2771" operator="equal">
      <formula>"Not Met"</formula>
    </cfRule>
  </conditionalFormatting>
  <conditionalFormatting sqref="G257:H257">
    <cfRule type="cellIs" dxfId="1095" priority="191" operator="equal">
      <formula>"Not Met"</formula>
    </cfRule>
  </conditionalFormatting>
  <conditionalFormatting sqref="G264:H264">
    <cfRule type="cellIs" dxfId="1094" priority="705" operator="equal">
      <formula>"Not Met"</formula>
    </cfRule>
  </conditionalFormatting>
  <conditionalFormatting sqref="G289:H289">
    <cfRule type="cellIs" dxfId="1093" priority="2765" operator="equal">
      <formula>"Not Met"</formula>
    </cfRule>
  </conditionalFormatting>
  <conditionalFormatting sqref="G291:H291 G294:H294">
    <cfRule type="cellIs" dxfId="1092" priority="3004" operator="equal">
      <formula>"Not Met"</formula>
    </cfRule>
  </conditionalFormatting>
  <conditionalFormatting sqref="G296:H296">
    <cfRule type="cellIs" dxfId="1091" priority="2759" operator="equal">
      <formula>"Not Met"</formula>
    </cfRule>
  </conditionalFormatting>
  <conditionalFormatting sqref="G314:H314 H316:H318">
    <cfRule type="cellIs" dxfId="1090" priority="2757" operator="equal">
      <formula>"Not Met"</formula>
    </cfRule>
  </conditionalFormatting>
  <conditionalFormatting sqref="H13 H15 H75 H11 H73">
    <cfRule type="cellIs" dxfId="1089" priority="2969" operator="equal">
      <formula>"Met"</formula>
    </cfRule>
  </conditionalFormatting>
  <conditionalFormatting sqref="H13:H14">
    <cfRule type="expression" dxfId="1088" priority="178">
      <formula>$B$13="I.A.5"</formula>
    </cfRule>
  </conditionalFormatting>
  <conditionalFormatting sqref="H17:H19 H32:H35 H77 H79:H82 H98 H100:H102 H106:H109 H23 H26:H30 H198:H199">
    <cfRule type="cellIs" dxfId="1087" priority="2957" operator="equal">
      <formula>"Met"</formula>
    </cfRule>
  </conditionalFormatting>
  <conditionalFormatting sqref="H24">
    <cfRule type="cellIs" dxfId="1086" priority="662" operator="equal">
      <formula>"Met"</formula>
    </cfRule>
  </conditionalFormatting>
  <conditionalFormatting sqref="H26:H30">
    <cfRule type="cellIs" dxfId="1085" priority="2862" operator="equal">
      <formula>"Not Met"</formula>
    </cfRule>
  </conditionalFormatting>
  <conditionalFormatting sqref="H40 H42 H44:H46 H48 H50 H52 H57 H59 H61 H63:H64 H68:H71 H133:H136 H121 H124:H130">
    <cfRule type="cellIs" dxfId="1084" priority="2847" operator="equal">
      <formula>"Met"</formula>
    </cfRule>
  </conditionalFormatting>
  <conditionalFormatting sqref="H57">
    <cfRule type="cellIs" dxfId="1083" priority="232" operator="equal">
      <formula>"Not Met"</formula>
    </cfRule>
  </conditionalFormatting>
  <conditionalFormatting sqref="H64">
    <cfRule type="cellIs" dxfId="1082" priority="1015" operator="equal">
      <formula>"Not Met"</formula>
    </cfRule>
  </conditionalFormatting>
  <conditionalFormatting sqref="H68:H71 H63:H64 H23 H48 H50 H52 H57 H59 H26:H30 H40 H42 H44:H46 H61 H75 H133:H136">
    <cfRule type="expression" dxfId="1081" priority="2846">
      <formula>B23="N/A"</formula>
    </cfRule>
  </conditionalFormatting>
  <conditionalFormatting sqref="H70">
    <cfRule type="cellIs" dxfId="1080" priority="1090" operator="equal">
      <formula>"Not Met"</formula>
    </cfRule>
  </conditionalFormatting>
  <conditionalFormatting sqref="H73">
    <cfRule type="expression" dxfId="1079" priority="4665">
      <formula>B74="N/A"</formula>
    </cfRule>
  </conditionalFormatting>
  <conditionalFormatting sqref="H77 H79:H82">
    <cfRule type="cellIs" dxfId="1078" priority="2852" operator="equal">
      <formula>"Not Met"</formula>
    </cfRule>
  </conditionalFormatting>
  <conditionalFormatting sqref="H90:H95 H140:H141 H163:H165">
    <cfRule type="cellIs" dxfId="1077" priority="2898" operator="equal">
      <formula>"Met"</formula>
    </cfRule>
    <cfRule type="cellIs" dxfId="1076" priority="2899" operator="equal">
      <formula>"Not Met"</formula>
    </cfRule>
  </conditionalFormatting>
  <conditionalFormatting sqref="H100:H102 H71 H208:H210 H220 H222 H237:H239 H243:H245">
    <cfRule type="cellIs" dxfId="1075" priority="3327" operator="equal">
      <formula>"Not Met"</formula>
    </cfRule>
  </conditionalFormatting>
  <conditionalFormatting sqref="H108:H109">
    <cfRule type="cellIs" dxfId="1074" priority="1098" operator="equal">
      <formula>"Not Met"</formula>
    </cfRule>
  </conditionalFormatting>
  <conditionalFormatting sqref="H121">
    <cfRule type="cellIs" dxfId="1073" priority="753" operator="equal">
      <formula>"Not Met"</formula>
    </cfRule>
  </conditionalFormatting>
  <conditionalFormatting sqref="H140">
    <cfRule type="expression" dxfId="1072" priority="2739">
      <formula>G138="N/A"</formula>
    </cfRule>
  </conditionalFormatting>
  <conditionalFormatting sqref="H140:H141 H90:H95 H163:H165">
    <cfRule type="expression" dxfId="1071" priority="2897">
      <formula>B90="N/A"</formula>
    </cfRule>
  </conditionalFormatting>
  <conditionalFormatting sqref="H141">
    <cfRule type="expression" dxfId="1070" priority="2738">
      <formula>G138="N/A"</formula>
    </cfRule>
  </conditionalFormatting>
  <conditionalFormatting sqref="H143">
    <cfRule type="cellIs" dxfId="1069" priority="1075" operator="equal">
      <formula>"Met"</formula>
    </cfRule>
    <cfRule type="cellIs" dxfId="1068" priority="1076" operator="equal">
      <formula>"Not Met"</formula>
    </cfRule>
  </conditionalFormatting>
  <conditionalFormatting sqref="H143:H144">
    <cfRule type="expression" dxfId="1067" priority="1073">
      <formula>G137="N/A"</formula>
    </cfRule>
  </conditionalFormatting>
  <conditionalFormatting sqref="H143:H146 H77 H79:H82 H121 H124:H130 H153:H154 H106:H109 H156:H160 H175 H13 H15 H17:H19 H32:H35 H98 H100:H102 H170">
    <cfRule type="expression" dxfId="1066" priority="2956">
      <formula>B13="N/A"</formula>
    </cfRule>
  </conditionalFormatting>
  <conditionalFormatting sqref="H144:H146">
    <cfRule type="cellIs" dxfId="1065" priority="2869" operator="equal">
      <formula>"Not Met"</formula>
    </cfRule>
    <cfRule type="cellIs" dxfId="1064" priority="2868" operator="equal">
      <formula>"Met"</formula>
    </cfRule>
  </conditionalFormatting>
  <conditionalFormatting sqref="H145:H146">
    <cfRule type="expression" dxfId="1063" priority="2718">
      <formula>G138="N/A"</formula>
    </cfRule>
  </conditionalFormatting>
  <conditionalFormatting sqref="H146">
    <cfRule type="expression" dxfId="1062" priority="2712">
      <formula>G138="N/A"</formula>
    </cfRule>
  </conditionalFormatting>
  <conditionalFormatting sqref="H153:H154">
    <cfRule type="cellIs" dxfId="1061" priority="725" operator="equal">
      <formula>"Met"</formula>
    </cfRule>
  </conditionalFormatting>
  <conditionalFormatting sqref="H154">
    <cfRule type="cellIs" dxfId="1060" priority="726" operator="equal">
      <formula>"Not Met"</formula>
    </cfRule>
  </conditionalFormatting>
  <conditionalFormatting sqref="H156:H160">
    <cfRule type="cellIs" dxfId="1059" priority="1070" operator="equal">
      <formula>"Met"</formula>
    </cfRule>
    <cfRule type="cellIs" dxfId="1058" priority="1071" operator="equal">
      <formula>"Not Met"</formula>
    </cfRule>
  </conditionalFormatting>
  <conditionalFormatting sqref="H170 G10 H208:H210 H214 H220 H222 H237:H239 H243:H245">
    <cfRule type="cellIs" dxfId="1057" priority="3326" operator="equal">
      <formula>"Met"</formula>
    </cfRule>
  </conditionalFormatting>
  <conditionalFormatting sqref="H175:H176">
    <cfRule type="expression" dxfId="1056" priority="4736">
      <formula>G172="Yes"</formula>
    </cfRule>
    <cfRule type="expression" dxfId="1055" priority="116">
      <formula>OR(G172="Yes",G172="No")</formula>
    </cfRule>
  </conditionalFormatting>
  <conditionalFormatting sqref="H178">
    <cfRule type="cellIs" dxfId="1054" priority="212" operator="equal">
      <formula>"Met"</formula>
    </cfRule>
    <cfRule type="cellIs" dxfId="1053" priority="211" operator="equal">
      <formula>"Not Met"</formula>
    </cfRule>
    <cfRule type="expression" dxfId="1052" priority="210">
      <formula>B178="N/A"</formula>
    </cfRule>
    <cfRule type="expression" dxfId="1051" priority="172">
      <formula>G172="N/A"</formula>
    </cfRule>
  </conditionalFormatting>
  <conditionalFormatting sqref="H178:H180">
    <cfRule type="expression" dxfId="1050" priority="124">
      <formula>OR(G172="Yes",G172="No")</formula>
    </cfRule>
  </conditionalFormatting>
  <conditionalFormatting sqref="H181:H183">
    <cfRule type="expression" dxfId="1049" priority="147">
      <formula>B181="N/A"</formula>
    </cfRule>
    <cfRule type="cellIs" dxfId="1048" priority="148" operator="equal">
      <formula>"Not Met"</formula>
    </cfRule>
    <cfRule type="expression" dxfId="1047" priority="145">
      <formula>$G$172="N/A"</formula>
    </cfRule>
    <cfRule type="expression" dxfId="1046" priority="146">
      <formula>G178="N/A"</formula>
    </cfRule>
  </conditionalFormatting>
  <conditionalFormatting sqref="H183">
    <cfRule type="expression" dxfId="1045" priority="126">
      <formula>$G$172="N/A"</formula>
    </cfRule>
  </conditionalFormatting>
  <conditionalFormatting sqref="H187">
    <cfRule type="expression" dxfId="1044" priority="791">
      <formula>B187="N/A"</formula>
    </cfRule>
    <cfRule type="cellIs" dxfId="1043" priority="784" operator="equal">
      <formula>"Met"</formula>
    </cfRule>
    <cfRule type="expression" dxfId="1042" priority="780">
      <formula>G185="N/A"</formula>
    </cfRule>
  </conditionalFormatting>
  <conditionalFormatting sqref="H194">
    <cfRule type="cellIs" dxfId="1041" priority="790" operator="equal">
      <formula>"Not Met"</formula>
    </cfRule>
    <cfRule type="cellIs" dxfId="1040" priority="789" operator="equal">
      <formula>"Met"</formula>
    </cfRule>
    <cfRule type="expression" dxfId="1039" priority="788">
      <formula>B194="N/A"</formula>
    </cfRule>
  </conditionalFormatting>
  <conditionalFormatting sqref="H199">
    <cfRule type="cellIs" dxfId="1038" priority="974" operator="equal">
      <formula>"Not Met"</formula>
    </cfRule>
  </conditionalFormatting>
  <conditionalFormatting sqref="H203:H204">
    <cfRule type="cellIs" dxfId="1037" priority="680" operator="equal">
      <formula>"Not Met"</formula>
    </cfRule>
    <cfRule type="cellIs" dxfId="1036" priority="681" operator="equal">
      <formula>"Met"</formula>
    </cfRule>
  </conditionalFormatting>
  <conditionalFormatting sqref="H214">
    <cfRule type="cellIs" dxfId="1035" priority="202" operator="equal">
      <formula>"Not Met"</formula>
    </cfRule>
  </conditionalFormatting>
  <conditionalFormatting sqref="H224:H226">
    <cfRule type="cellIs" dxfId="1034" priority="960" operator="equal">
      <formula>"Met"</formula>
    </cfRule>
  </conditionalFormatting>
  <conditionalFormatting sqref="H225:H226">
    <cfRule type="cellIs" dxfId="1033" priority="961" operator="equal">
      <formula>"Not Met"</formula>
    </cfRule>
  </conditionalFormatting>
  <conditionalFormatting sqref="H230:H233">
    <cfRule type="cellIs" dxfId="1032" priority="2906" operator="equal">
      <formula>"Met"</formula>
    </cfRule>
  </conditionalFormatting>
  <conditionalFormatting sqref="H247:H248">
    <cfRule type="cellIs" dxfId="1031" priority="2770" operator="equal">
      <formula>"Met"</formula>
    </cfRule>
  </conditionalFormatting>
  <conditionalFormatting sqref="H254">
    <cfRule type="cellIs" dxfId="1030" priority="1028" operator="equal">
      <formula>"Not Met"</formula>
    </cfRule>
  </conditionalFormatting>
  <conditionalFormatting sqref="H254:H255 H257">
    <cfRule type="cellIs" dxfId="1029" priority="1027" operator="equal">
      <formula>"Met"</formula>
    </cfRule>
  </conditionalFormatting>
  <conditionalFormatting sqref="H263">
    <cfRule type="cellIs" dxfId="1028" priority="2637" operator="equal">
      <formula>"Not Met"</formula>
    </cfRule>
  </conditionalFormatting>
  <conditionalFormatting sqref="H263:H264">
    <cfRule type="cellIs" dxfId="1027" priority="704" operator="equal">
      <formula>"Met"</formula>
    </cfRule>
  </conditionalFormatting>
  <conditionalFormatting sqref="H280">
    <cfRule type="cellIs" dxfId="1026" priority="3002" operator="equal">
      <formula>"Not Met"</formula>
    </cfRule>
    <cfRule type="cellIs" dxfId="1025" priority="3001" operator="equal">
      <formula>"Met"</formula>
    </cfRule>
  </conditionalFormatting>
  <conditionalFormatting sqref="H289">
    <cfRule type="cellIs" dxfId="1024" priority="2764" operator="equal">
      <formula>"Met"</formula>
    </cfRule>
  </conditionalFormatting>
  <conditionalFormatting sqref="H291 H294">
    <cfRule type="cellIs" dxfId="1023" priority="3003" operator="equal">
      <formula>"Met"</formula>
    </cfRule>
  </conditionalFormatting>
  <conditionalFormatting sqref="H296">
    <cfRule type="cellIs" dxfId="1022" priority="2758" operator="equal">
      <formula>"Met"</formula>
    </cfRule>
  </conditionalFormatting>
  <conditionalFormatting sqref="H299:H301">
    <cfRule type="cellIs" dxfId="1021" priority="3008" operator="equal">
      <formula>"Not Met"</formula>
    </cfRule>
    <cfRule type="cellIs" dxfId="1020" priority="3007" operator="equal">
      <formula>"Met"</formula>
    </cfRule>
  </conditionalFormatting>
  <conditionalFormatting sqref="H303 H306">
    <cfRule type="cellIs" dxfId="1019" priority="3013" operator="equal">
      <formula>"Met"</formula>
    </cfRule>
  </conditionalFormatting>
  <conditionalFormatting sqref="H306">
    <cfRule type="cellIs" dxfId="1018" priority="3014" operator="equal">
      <formula>"Not Met"</formula>
    </cfRule>
  </conditionalFormatting>
  <conditionalFormatting sqref="H308:H309">
    <cfRule type="cellIs" dxfId="1017" priority="3018" operator="equal">
      <formula>"Not Met"</formula>
    </cfRule>
    <cfRule type="cellIs" dxfId="1016" priority="3017" operator="equal">
      <formula>"Met"</formula>
    </cfRule>
  </conditionalFormatting>
  <conditionalFormatting sqref="H314 H316:H318">
    <cfRule type="cellIs" dxfId="1015" priority="2756" operator="equal">
      <formula>"Met"</formula>
    </cfRule>
  </conditionalFormatting>
  <conditionalFormatting sqref="H322 H320">
    <cfRule type="cellIs" dxfId="1014" priority="697" operator="equal">
      <formula>"Met"</formula>
    </cfRule>
  </conditionalFormatting>
  <conditionalFormatting sqref="H54:I54 H65:I67 H84:I86 H110:I115 H166:I168 H200:I202 H205:I207 H211:I213 H217:I219 H227:I229 H240:I242 H286:I288">
    <cfRule type="expression" dxfId="1013" priority="950">
      <formula>$H$166&lt;&gt;""</formula>
    </cfRule>
  </conditionalFormatting>
  <conditionalFormatting sqref="H55:I56">
    <cfRule type="expression" dxfId="1012" priority="756">
      <formula>$H$55&lt;&gt;""</formula>
    </cfRule>
  </conditionalFormatting>
  <conditionalFormatting sqref="H150:I150">
    <cfRule type="expression" dxfId="1011" priority="71">
      <formula>$H$150&lt;&gt;""</formula>
    </cfRule>
  </conditionalFormatting>
  <conditionalFormatting sqref="H173:I173">
    <cfRule type="expression" dxfId="1010" priority="132">
      <formula>$G$172="Yes"</formula>
    </cfRule>
    <cfRule type="expression" dxfId="1009" priority="142">
      <formula>($G$172="N/A")</formula>
    </cfRule>
  </conditionalFormatting>
  <conditionalFormatting sqref="H310:I312">
    <cfRule type="expression" dxfId="1008" priority="754">
      <formula>$H$166&lt;&gt;""</formula>
    </cfRule>
  </conditionalFormatting>
  <conditionalFormatting sqref="H378:K378">
    <cfRule type="expression" dxfId="1007" priority="803">
      <formula>$B$332&lt;&gt;""</formula>
    </cfRule>
  </conditionalFormatting>
  <conditionalFormatting sqref="H386:K386">
    <cfRule type="expression" dxfId="1006" priority="799">
      <formula>$B$332&lt;&gt;""</formula>
    </cfRule>
  </conditionalFormatting>
  <conditionalFormatting sqref="H390:K390">
    <cfRule type="expression" dxfId="1005" priority="798">
      <formula>$J$388="Yes"</formula>
    </cfRule>
  </conditionalFormatting>
  <conditionalFormatting sqref="H324:L325">
    <cfRule type="expression" dxfId="1004" priority="2375">
      <formula>AND(#REF!=#REF!,#REF!&gt;=1)</formula>
    </cfRule>
  </conditionalFormatting>
  <conditionalFormatting sqref="H324:M325">
    <cfRule type="expression" dxfId="1003" priority="2376">
      <formula>#REF!-#REF!&gt;=1</formula>
    </cfRule>
  </conditionalFormatting>
  <conditionalFormatting sqref="I11 B13:L13 B14:G14 J14:L14 B15:C15 G15:L15">
    <cfRule type="expression" dxfId="1002" priority="694">
      <formula>$B$13="I.A.5"</formula>
    </cfRule>
  </conditionalFormatting>
  <conditionalFormatting sqref="I13 I15">
    <cfRule type="expression" dxfId="1001" priority="2961">
      <formula>B13="N/A"</formula>
    </cfRule>
  </conditionalFormatting>
  <conditionalFormatting sqref="I140">
    <cfRule type="expression" dxfId="1000" priority="2737">
      <formula>G138="N/A"</formula>
    </cfRule>
  </conditionalFormatting>
  <conditionalFormatting sqref="I141 I175">
    <cfRule type="expression" dxfId="999" priority="2736">
      <formula>G138="N/A"</formula>
    </cfRule>
  </conditionalFormatting>
  <conditionalFormatting sqref="I143:I144">
    <cfRule type="expression" dxfId="998" priority="1077">
      <formula>G137="N/A"</formula>
    </cfRule>
  </conditionalFormatting>
  <conditionalFormatting sqref="I145:I146">
    <cfRule type="expression" dxfId="997" priority="2717">
      <formula>G138="N/A"</formula>
    </cfRule>
  </conditionalFormatting>
  <conditionalFormatting sqref="I153">
    <cfRule type="expression" dxfId="996" priority="26">
      <formula>$I$153&lt;&gt;""</formula>
    </cfRule>
  </conditionalFormatting>
  <conditionalFormatting sqref="I154">
    <cfRule type="expression" dxfId="995" priority="25">
      <formula>$I$154&lt;&gt;""</formula>
    </cfRule>
  </conditionalFormatting>
  <conditionalFormatting sqref="I156">
    <cfRule type="expression" dxfId="994" priority="18">
      <formula>$I$156&lt;&gt;""</formula>
    </cfRule>
  </conditionalFormatting>
  <conditionalFormatting sqref="I157">
    <cfRule type="expression" dxfId="993" priority="11">
      <formula>$I$157&lt;&gt;""</formula>
    </cfRule>
  </conditionalFormatting>
  <conditionalFormatting sqref="I158">
    <cfRule type="expression" dxfId="992" priority="10">
      <formula>$I$158&lt;&gt;""</formula>
    </cfRule>
  </conditionalFormatting>
  <conditionalFormatting sqref="I159">
    <cfRule type="expression" dxfId="991" priority="3">
      <formula>$I$159&lt;&gt;""</formula>
    </cfRule>
  </conditionalFormatting>
  <conditionalFormatting sqref="I160">
    <cfRule type="expression" dxfId="990" priority="2">
      <formula>$I$160&lt;&gt;""</formula>
    </cfRule>
  </conditionalFormatting>
  <conditionalFormatting sqref="I165">
    <cfRule type="expression" dxfId="989" priority="92">
      <formula>$I$165=""</formula>
    </cfRule>
  </conditionalFormatting>
  <conditionalFormatting sqref="I175:I176">
    <cfRule type="expression" dxfId="988" priority="4738">
      <formula>OR(G172="Yes",G172="No")</formula>
    </cfRule>
  </conditionalFormatting>
  <conditionalFormatting sqref="I178:I180">
    <cfRule type="expression" dxfId="987" priority="123">
      <formula>OR(G172="Yes",G172="No")</formula>
    </cfRule>
  </conditionalFormatting>
  <conditionalFormatting sqref="I181:I183">
    <cfRule type="expression" dxfId="986" priority="114">
      <formula>OR(G172="Yes",G172="No")</formula>
    </cfRule>
    <cfRule type="expression" dxfId="985" priority="128">
      <formula>$G$172="N/A"</formula>
    </cfRule>
  </conditionalFormatting>
  <conditionalFormatting sqref="I187">
    <cfRule type="expression" dxfId="984" priority="778">
      <formula>G185="N/A"</formula>
    </cfRule>
  </conditionalFormatting>
  <conditionalFormatting sqref="I1:J1">
    <cfRule type="expression" dxfId="983" priority="3419">
      <formula>#REF!="Not OK"</formula>
    </cfRule>
  </conditionalFormatting>
  <conditionalFormatting sqref="I349:L349">
    <cfRule type="expression" dxfId="982" priority="2566">
      <formula>$B$332&lt;&gt;""</formula>
    </cfRule>
  </conditionalFormatting>
  <conditionalFormatting sqref="I350:L361 C351:H361">
    <cfRule type="expression" dxfId="981" priority="2552">
      <formula>$B$332&lt;&gt;""</formula>
    </cfRule>
  </conditionalFormatting>
  <conditionalFormatting sqref="J11 J13 J15 J17:J19 J23 J32:J33 J35 J68:J69 J110:J115 J170 J159 J156:J157 J194:J196 J121 J106 J230:J232">
    <cfRule type="expression" dxfId="980" priority="3031">
      <formula>G11="Not Met"</formula>
    </cfRule>
  </conditionalFormatting>
  <conditionalFormatting sqref="J13 J15 J11 J17:J19 J23 J32:J33 J35 J68:J69 J110:J115">
    <cfRule type="expression" dxfId="979" priority="3030">
      <formula>J11&gt;0</formula>
    </cfRule>
  </conditionalFormatting>
  <conditionalFormatting sqref="J42">
    <cfRule type="expression" dxfId="978" priority="4638">
      <formula>$J$42&gt;0</formula>
    </cfRule>
    <cfRule type="expression" dxfId="977" priority="4639">
      <formula>$G$42="Not Met"</formula>
    </cfRule>
  </conditionalFormatting>
  <conditionalFormatting sqref="J46">
    <cfRule type="expression" dxfId="976" priority="4640">
      <formula>$J$46&gt;0</formula>
    </cfRule>
    <cfRule type="expression" dxfId="975" priority="4641">
      <formula>$G$46="Not Met"</formula>
    </cfRule>
  </conditionalFormatting>
  <conditionalFormatting sqref="J48">
    <cfRule type="expression" dxfId="974" priority="4642">
      <formula>$J$48&gt;0</formula>
    </cfRule>
    <cfRule type="expression" dxfId="973" priority="4643">
      <formula>$G$48="Not Met"</formula>
    </cfRule>
  </conditionalFormatting>
  <conditionalFormatting sqref="J50">
    <cfRule type="expression" dxfId="972" priority="4647">
      <formula>$J$50&gt;0</formula>
    </cfRule>
    <cfRule type="expression" dxfId="971" priority="4648">
      <formula>$G$50="Not Met"</formula>
    </cfRule>
  </conditionalFormatting>
  <conditionalFormatting sqref="J52">
    <cfRule type="expression" dxfId="970" priority="613">
      <formula>$J$52&gt;0</formula>
    </cfRule>
    <cfRule type="expression" dxfId="969" priority="614">
      <formula>$G52="Not Met"</formula>
    </cfRule>
  </conditionalFormatting>
  <conditionalFormatting sqref="J59">
    <cfRule type="expression" dxfId="968" priority="4657">
      <formula>$J59&gt;0</formula>
    </cfRule>
    <cfRule type="expression" dxfId="967" priority="4658">
      <formula>G59="Not Met"</formula>
    </cfRule>
  </conditionalFormatting>
  <conditionalFormatting sqref="J150">
    <cfRule type="expression" dxfId="966" priority="74">
      <formula>$G150="Yes"</formula>
    </cfRule>
  </conditionalFormatting>
  <conditionalFormatting sqref="J153">
    <cfRule type="expression" dxfId="965" priority="4455">
      <formula>G153="Not Met"</formula>
    </cfRule>
  </conditionalFormatting>
  <conditionalFormatting sqref="J172">
    <cfRule type="expression" dxfId="964" priority="79">
      <formula>OR($G$172="Yes",$G$172="No")</formula>
    </cfRule>
  </conditionalFormatting>
  <conditionalFormatting sqref="J178 J61:L62 J71 J73 J77 J82 J88 J98 J102 J126:L130 J214 J220 J248 J252 J255 J257 J261 J303 J314 J320">
    <cfRule type="expression" dxfId="963" priority="530">
      <formula>$J61&gt;0</formula>
    </cfRule>
  </conditionalFormatting>
  <conditionalFormatting sqref="J189 J191 J175:L175">
    <cfRule type="expression" dxfId="962" priority="4687">
      <formula>AND($G175="Not Met",$J175="")</formula>
    </cfRule>
  </conditionalFormatting>
  <conditionalFormatting sqref="J189 J191">
    <cfRule type="expression" dxfId="961" priority="4686">
      <formula>$J189&gt;0</formula>
    </cfRule>
  </conditionalFormatting>
  <conditionalFormatting sqref="J264">
    <cfRule type="expression" dxfId="960" priority="706">
      <formula>J264&gt;0</formula>
    </cfRule>
  </conditionalFormatting>
  <conditionalFormatting sqref="J322">
    <cfRule type="expression" dxfId="959" priority="699">
      <formula>J322&gt;0</formula>
    </cfRule>
  </conditionalFormatting>
  <conditionalFormatting sqref="J364">
    <cfRule type="expression" dxfId="958" priority="807">
      <formula>$B$332&lt;&gt;""</formula>
    </cfRule>
  </conditionalFormatting>
  <conditionalFormatting sqref="J368">
    <cfRule type="expression" dxfId="957" priority="806">
      <formula>$B$332&lt;&gt;""</formula>
    </cfRule>
  </conditionalFormatting>
  <conditionalFormatting sqref="J370">
    <cfRule type="expression" dxfId="956" priority="805">
      <formula>$B$332&lt;&gt;""</formula>
    </cfRule>
  </conditionalFormatting>
  <conditionalFormatting sqref="J374">
    <cfRule type="expression" dxfId="955" priority="804">
      <formula>$B$332&lt;&gt;""</formula>
    </cfRule>
  </conditionalFormatting>
  <conditionalFormatting sqref="J380">
    <cfRule type="expression" dxfId="954" priority="802">
      <formula>$B$332&lt;&gt;""</formula>
    </cfRule>
  </conditionalFormatting>
  <conditionalFormatting sqref="J384">
    <cfRule type="expression" dxfId="953" priority="801">
      <formula>$B$332&lt;&gt;""</formula>
    </cfRule>
  </conditionalFormatting>
  <conditionalFormatting sqref="J388">
    <cfRule type="expression" dxfId="952" priority="800">
      <formula>$B$332&lt;&gt;""</formula>
    </cfRule>
  </conditionalFormatting>
  <conditionalFormatting sqref="J393:J394">
    <cfRule type="expression" dxfId="951" priority="796">
      <formula>$B$332&lt;&gt;""</formula>
    </cfRule>
  </conditionalFormatting>
  <conditionalFormatting sqref="J13:L15">
    <cfRule type="expression" dxfId="950" priority="2959">
      <formula>B13="N/A"</formula>
    </cfRule>
  </conditionalFormatting>
  <conditionalFormatting sqref="J24:L30">
    <cfRule type="expression" dxfId="949" priority="4702">
      <formula>$G$24="Not Met"</formula>
    </cfRule>
    <cfRule type="expression" dxfId="948" priority="4701">
      <formula>$J$24&gt;0</formula>
    </cfRule>
  </conditionalFormatting>
  <conditionalFormatting sqref="J40:L41">
    <cfRule type="expression" dxfId="947" priority="4632">
      <formula>$G$40="Not Met"</formula>
    </cfRule>
    <cfRule type="expression" dxfId="946" priority="4631">
      <formula>$J$40&gt;0</formula>
    </cfRule>
  </conditionalFormatting>
  <conditionalFormatting sqref="J44:L45">
    <cfRule type="expression" dxfId="945" priority="610">
      <formula>$G$44="Not Met"</formula>
    </cfRule>
    <cfRule type="expression" dxfId="944" priority="609">
      <formula>$J$44&gt;0</formula>
    </cfRule>
  </conditionalFormatting>
  <conditionalFormatting sqref="J57:L58">
    <cfRule type="expression" dxfId="943" priority="590">
      <formula>$G57="Not Met"</formula>
    </cfRule>
    <cfRule type="expression" dxfId="942" priority="589">
      <formula>$J$57&gt;0</formula>
    </cfRule>
  </conditionalFormatting>
  <conditionalFormatting sqref="J59:L59 J62:L62">
    <cfRule type="expression" dxfId="941" priority="583">
      <formula>$G60="Not Met"</formula>
    </cfRule>
  </conditionalFormatting>
  <conditionalFormatting sqref="J59:L59">
    <cfRule type="expression" dxfId="940" priority="582">
      <formula>$J59&gt;0</formula>
    </cfRule>
  </conditionalFormatting>
  <conditionalFormatting sqref="J61:L61 J71 J73 J77 J82 J88 J98 J102 J126:L130 J178 J214 J220 J248 J252 J255 J257 J261 J303 J314 J320">
    <cfRule type="expression" dxfId="939" priority="531">
      <formula>$G61="Not Met"</formula>
    </cfRule>
  </conditionalFormatting>
  <conditionalFormatting sqref="J63:L64">
    <cfRule type="expression" dxfId="938" priority="648">
      <formula>$G$63="Not Met"</formula>
    </cfRule>
    <cfRule type="expression" dxfId="937" priority="647">
      <formula>$J$63&gt;0</formula>
    </cfRule>
  </conditionalFormatting>
  <conditionalFormatting sqref="J106:L106">
    <cfRule type="expression" dxfId="936" priority="712">
      <formula>$J$106&lt;&gt;""</formula>
    </cfRule>
  </conditionalFormatting>
  <conditionalFormatting sqref="J107:L109">
    <cfRule type="expression" dxfId="935" priority="634">
      <formula>$G$107="Not Met"</formula>
    </cfRule>
    <cfRule type="expression" dxfId="934" priority="633">
      <formula>$J$107&gt;0</formula>
    </cfRule>
  </conditionalFormatting>
  <conditionalFormatting sqref="J117:L117">
    <cfRule type="expression" dxfId="933" priority="632">
      <formula>$G$117="Not Met"</formula>
    </cfRule>
    <cfRule type="expression" dxfId="932" priority="631">
      <formula>$J$117&gt;0</formula>
    </cfRule>
  </conditionalFormatting>
  <conditionalFormatting sqref="J118:L118">
    <cfRule type="expression" dxfId="931" priority="630">
      <formula>$G$118="Not Met"</formula>
    </cfRule>
    <cfRule type="expression" dxfId="930" priority="629">
      <formula>$J$118&gt;0</formula>
    </cfRule>
  </conditionalFormatting>
  <conditionalFormatting sqref="J119:L119">
    <cfRule type="expression" dxfId="929" priority="628">
      <formula>$G$119="Not Met"</formula>
    </cfRule>
    <cfRule type="expression" dxfId="928" priority="627">
      <formula>$J$119&gt;0</formula>
    </cfRule>
  </conditionalFormatting>
  <conditionalFormatting sqref="J120:L120">
    <cfRule type="expression" dxfId="927" priority="713">
      <formula>$J$120&lt;&gt;""</formula>
    </cfRule>
    <cfRule type="expression" dxfId="926" priority="715">
      <formula>$G$120="Not Met"</formula>
    </cfRule>
  </conditionalFormatting>
  <conditionalFormatting sqref="J121:L121">
    <cfRule type="expression" dxfId="925" priority="714">
      <formula>$J$121&lt;&gt;""</formula>
    </cfRule>
  </conditionalFormatting>
  <conditionalFormatting sqref="J124:L124">
    <cfRule type="expression" dxfId="924" priority="626">
      <formula>$G$124="Not Met"</formula>
    </cfRule>
    <cfRule type="expression" dxfId="923" priority="625">
      <formula>$J$124&gt;0</formula>
    </cfRule>
  </conditionalFormatting>
  <conditionalFormatting sqref="J125:L125">
    <cfRule type="expression" dxfId="922" priority="548">
      <formula>$G125="Not Met"</formula>
    </cfRule>
    <cfRule type="expression" dxfId="921" priority="547">
      <formula>$J$125&gt;0</formula>
    </cfRule>
  </conditionalFormatting>
  <conditionalFormatting sqref="J132:L136">
    <cfRule type="expression" dxfId="920" priority="518">
      <formula>$J132&gt;0</formula>
    </cfRule>
    <cfRule type="expression" dxfId="919" priority="519">
      <formula>$G132="Not Met"</formula>
    </cfRule>
  </conditionalFormatting>
  <conditionalFormatting sqref="J138:L138">
    <cfRule type="expression" dxfId="918" priority="100">
      <formula>$G$138="Yes"</formula>
    </cfRule>
    <cfRule type="expression" dxfId="917" priority="102">
      <formula>$G$138="N/A"</formula>
    </cfRule>
  </conditionalFormatting>
  <conditionalFormatting sqref="J140:L141 J187">
    <cfRule type="expression" dxfId="916" priority="776">
      <formula>G138="N/A"</formula>
    </cfRule>
  </conditionalFormatting>
  <conditionalFormatting sqref="J140:L141">
    <cfRule type="expression" dxfId="915" priority="509">
      <formula>$G140="Not Met"</formula>
    </cfRule>
    <cfRule type="expression" dxfId="914" priority="508">
      <formula>$J140&gt;0</formula>
    </cfRule>
  </conditionalFormatting>
  <conditionalFormatting sqref="J143:L143">
    <cfRule type="expression" dxfId="913" priority="175">
      <formula>G138="Yes"</formula>
    </cfRule>
    <cfRule type="expression" dxfId="912" priority="177">
      <formula>G138="N/A"</formula>
    </cfRule>
  </conditionalFormatting>
  <conditionalFormatting sqref="J143:L144">
    <cfRule type="expression" dxfId="911" priority="511">
      <formula>$G143="Not Met"</formula>
    </cfRule>
    <cfRule type="expression" dxfId="910" priority="510">
      <formula>$J143&gt;0</formula>
    </cfRule>
  </conditionalFormatting>
  <conditionalFormatting sqref="J144:L144">
    <cfRule type="expression" dxfId="909" priority="174">
      <formula>G138="Yes"</formula>
    </cfRule>
    <cfRule type="expression" dxfId="908" priority="176">
      <formula>G138="N/A"</formula>
    </cfRule>
  </conditionalFormatting>
  <conditionalFormatting sqref="J145:L145">
    <cfRule type="expression" dxfId="907" priority="2716">
      <formula>G138="N/A"</formula>
    </cfRule>
  </conditionalFormatting>
  <conditionalFormatting sqref="J145:L146">
    <cfRule type="expression" dxfId="906" priority="505">
      <formula>$G145="Not Met"</formula>
    </cfRule>
    <cfRule type="expression" dxfId="905" priority="504">
      <formula>$J$145&gt;0</formula>
    </cfRule>
  </conditionalFormatting>
  <conditionalFormatting sqref="J151:L151">
    <cfRule type="expression" dxfId="904" priority="84">
      <formula>$G$150="No"</formula>
    </cfRule>
    <cfRule type="expression" dxfId="903" priority="65">
      <formula>$J$151&lt;&gt;""</formula>
    </cfRule>
  </conditionalFormatting>
  <conditionalFormatting sqref="J153:L154">
    <cfRule type="expression" dxfId="902" priority="24">
      <formula>$C$153&lt;&gt;""</formula>
    </cfRule>
    <cfRule type="expression" dxfId="901" priority="720">
      <formula>$J$153&lt;&gt;""</formula>
    </cfRule>
  </conditionalFormatting>
  <conditionalFormatting sqref="J156:L156">
    <cfRule type="expression" dxfId="900" priority="17">
      <formula>$C$156&lt;&gt;""</formula>
    </cfRule>
    <cfRule type="expression" dxfId="899" priority="727">
      <formula>$J$156&lt;&gt;""</formula>
    </cfRule>
  </conditionalFormatting>
  <conditionalFormatting sqref="J157:L158">
    <cfRule type="expression" dxfId="898" priority="728">
      <formula>$J$157&lt;&gt;""</formula>
    </cfRule>
    <cfRule type="expression" dxfId="897" priority="9">
      <formula>$C$157&lt;&gt;""</formula>
    </cfRule>
  </conditionalFormatting>
  <conditionalFormatting sqref="J159:L160">
    <cfRule type="expression" dxfId="896" priority="1">
      <formula>$C$159&lt;&gt;""</formula>
    </cfRule>
    <cfRule type="expression" dxfId="895" priority="729">
      <formula>$J$159&lt;&gt;""</formula>
    </cfRule>
  </conditionalFormatting>
  <conditionalFormatting sqref="J163:L165">
    <cfRule type="expression" dxfId="894" priority="497">
      <formula>$J163&gt;0</formula>
    </cfRule>
    <cfRule type="expression" dxfId="893" priority="498">
      <formula>$G163="Not Met"</formula>
    </cfRule>
  </conditionalFormatting>
  <conditionalFormatting sqref="J166:L168">
    <cfRule type="expression" dxfId="892" priority="794">
      <formula>G166="Not Met"</formula>
    </cfRule>
    <cfRule type="expression" dxfId="891" priority="793">
      <formula>J166&lt;&gt;""</formula>
    </cfRule>
  </conditionalFormatting>
  <conditionalFormatting sqref="J170:L170">
    <cfRule type="expression" dxfId="890" priority="736">
      <formula>$J$170&lt;&gt;""</formula>
    </cfRule>
  </conditionalFormatting>
  <conditionalFormatting sqref="J173:L173">
    <cfRule type="expression" dxfId="889" priority="111">
      <formula>AND($G$172="No",$J$173="")</formula>
    </cfRule>
    <cfRule type="expression" dxfId="888" priority="112">
      <formula>$G$172="No"</formula>
    </cfRule>
    <cfRule type="expression" dxfId="887" priority="140">
      <formula>$G$172="N/A"</formula>
    </cfRule>
  </conditionalFormatting>
  <conditionalFormatting sqref="J175:L176">
    <cfRule type="expression" dxfId="886" priority="4741">
      <formula>OR(G172="Yes",G172="No")</formula>
    </cfRule>
    <cfRule type="expression" dxfId="885" priority="4742">
      <formula>$G$172="N/A"</formula>
    </cfRule>
  </conditionalFormatting>
  <conditionalFormatting sqref="J176:L176">
    <cfRule type="expression" dxfId="884" priority="446">
      <formula>$G177="Not Met"</formula>
    </cfRule>
  </conditionalFormatting>
  <conditionalFormatting sqref="J178:L179">
    <cfRule type="expression" dxfId="883" priority="4745">
      <formula>OR(G172="Yes",G172="No")</formula>
    </cfRule>
    <cfRule type="expression" dxfId="882" priority="4744">
      <formula>G178="Not Met"</formula>
    </cfRule>
  </conditionalFormatting>
  <conditionalFormatting sqref="J178:L183">
    <cfRule type="expression" dxfId="881" priority="457">
      <formula>$G$172="N/A"</formula>
    </cfRule>
  </conditionalFormatting>
  <conditionalFormatting sqref="J180:L180">
    <cfRule type="expression" dxfId="880" priority="155">
      <formula>OR(G172="Yes",G172="No")</formula>
    </cfRule>
  </conditionalFormatting>
  <conditionalFormatting sqref="J180:L183">
    <cfRule type="expression" dxfId="879" priority="481">
      <formula>$J180&gt;0</formula>
    </cfRule>
    <cfRule type="expression" dxfId="878" priority="482">
      <formula>$G180="Not Met"</formula>
    </cfRule>
  </conditionalFormatting>
  <conditionalFormatting sqref="J181:L181">
    <cfRule type="expression" dxfId="877" priority="154">
      <formula>OR(G172="Yes",G172="No")</formula>
    </cfRule>
  </conditionalFormatting>
  <conditionalFormatting sqref="J182:L182">
    <cfRule type="expression" dxfId="876" priority="153">
      <formula>OR(G172="Yes",G172="No")</formula>
    </cfRule>
  </conditionalFormatting>
  <conditionalFormatting sqref="J183:L183">
    <cfRule type="expression" dxfId="875" priority="152">
      <formula>OR(G172="Yes",G172="No")</formula>
    </cfRule>
    <cfRule type="expression" dxfId="874" priority="125">
      <formula>$G$172="N/A"</formula>
    </cfRule>
  </conditionalFormatting>
  <conditionalFormatting sqref="J187:L187">
    <cfRule type="expression" dxfId="873" priority="451">
      <formula>$J187&gt;0</formula>
    </cfRule>
    <cfRule type="expression" dxfId="872" priority="452">
      <formula>$G187="Not Met"</formula>
    </cfRule>
  </conditionalFormatting>
  <conditionalFormatting sqref="J188:L188">
    <cfRule type="expression" dxfId="871" priority="689">
      <formula>$G$188="Not Met"</formula>
    </cfRule>
    <cfRule type="expression" dxfId="870" priority="672">
      <formula>$J$188&lt;&gt;""</formula>
    </cfRule>
  </conditionalFormatting>
  <conditionalFormatting sqref="J194:L194">
    <cfRule type="expression" dxfId="869" priority="718">
      <formula>$J$194&lt;&gt;""</formula>
    </cfRule>
  </conditionalFormatting>
  <conditionalFormatting sqref="J195:L195">
    <cfRule type="expression" dxfId="868" priority="717">
      <formula>$J$195&lt;&gt;""</formula>
    </cfRule>
  </conditionalFormatting>
  <conditionalFormatting sqref="J196:L196">
    <cfRule type="expression" dxfId="867" priority="716">
      <formula>$J$196&lt;&gt;""</formula>
    </cfRule>
  </conditionalFormatting>
  <conditionalFormatting sqref="J198:L199">
    <cfRule type="expression" dxfId="866" priority="430">
      <formula>$J198&gt;0</formula>
    </cfRule>
    <cfRule type="expression" dxfId="865" priority="431">
      <formula>$G198="Not Met"</formula>
    </cfRule>
  </conditionalFormatting>
  <conditionalFormatting sqref="J203:L204">
    <cfRule type="expression" dxfId="864" priority="427">
      <formula>$J203&gt;0</formula>
    </cfRule>
    <cfRule type="expression" dxfId="863" priority="428">
      <formula>$G203="Not Met"</formula>
    </cfRule>
  </conditionalFormatting>
  <conditionalFormatting sqref="J208:L210">
    <cfRule type="expression" dxfId="862" priority="423">
      <formula>$J208&gt;0</formula>
    </cfRule>
    <cfRule type="expression" dxfId="861" priority="424">
      <formula>$G208="Not Met"</formula>
    </cfRule>
  </conditionalFormatting>
  <conditionalFormatting sqref="J224:L226">
    <cfRule type="expression" dxfId="860" priority="412">
      <formula>$J224&gt;0</formula>
    </cfRule>
    <cfRule type="expression" dxfId="859" priority="413">
      <formula>$G224="Not Met"</formula>
    </cfRule>
  </conditionalFormatting>
  <conditionalFormatting sqref="J230:L230">
    <cfRule type="expression" dxfId="858" priority="684">
      <formula>$J$230&lt;&gt;""</formula>
    </cfRule>
  </conditionalFormatting>
  <conditionalFormatting sqref="J231:L231">
    <cfRule type="expression" dxfId="857" priority="683">
      <formula>$J$231&lt;&gt;""</formula>
    </cfRule>
  </conditionalFormatting>
  <conditionalFormatting sqref="J232:L232">
    <cfRule type="expression" dxfId="856" priority="682">
      <formula>$J$232&lt;&gt;""</formula>
    </cfRule>
  </conditionalFormatting>
  <conditionalFormatting sqref="J237:L239">
    <cfRule type="expression" dxfId="855" priority="406">
      <formula>$G237="Not Met"</formula>
    </cfRule>
    <cfRule type="expression" dxfId="854" priority="405">
      <formula>$J237&gt;0</formula>
    </cfRule>
  </conditionalFormatting>
  <conditionalFormatting sqref="J243:L245">
    <cfRule type="expression" dxfId="853" priority="403">
      <formula>$G243="Not Met"</formula>
    </cfRule>
    <cfRule type="expression" dxfId="852" priority="402">
      <formula>$J243&gt;0</formula>
    </cfRule>
  </conditionalFormatting>
  <conditionalFormatting sqref="J247:L247">
    <cfRule type="expression" dxfId="851" priority="396">
      <formula>$J247&gt;0</formula>
    </cfRule>
    <cfRule type="expression" dxfId="850" priority="397">
      <formula>$G247="Not Met"</formula>
    </cfRule>
  </conditionalFormatting>
  <conditionalFormatting sqref="J267:L274">
    <cfRule type="expression" dxfId="849" priority="310">
      <formula>$J267&gt;0</formula>
    </cfRule>
    <cfRule type="expression" dxfId="848" priority="311">
      <formula>$G267="Not Met"</formula>
    </cfRule>
  </conditionalFormatting>
  <conditionalFormatting sqref="J275:L275">
    <cfRule type="expression" dxfId="847" priority="359">
      <formula>$G275="Not Met"</formula>
    </cfRule>
    <cfRule type="expression" dxfId="846" priority="326">
      <formula>$J275&gt;0</formula>
    </cfRule>
  </conditionalFormatting>
  <conditionalFormatting sqref="J276:L285">
    <cfRule type="expression" dxfId="845" priority="302">
      <formula>$G276="Not Met"</formula>
    </cfRule>
    <cfRule type="expression" dxfId="844" priority="301">
      <formula>$J276&gt;0</formula>
    </cfRule>
  </conditionalFormatting>
  <conditionalFormatting sqref="J289:L289">
    <cfRule type="expression" dxfId="843" priority="329">
      <formula>$G289="Not Met"</formula>
    </cfRule>
    <cfRule type="expression" dxfId="842" priority="328">
      <formula>$J289&gt;0</formula>
    </cfRule>
  </conditionalFormatting>
  <conditionalFormatting sqref="J291:L297">
    <cfRule type="expression" dxfId="841" priority="294">
      <formula>$G291="Not Met"</formula>
    </cfRule>
    <cfRule type="expression" dxfId="840" priority="293">
      <formula>$J291&gt;0</formula>
    </cfRule>
  </conditionalFormatting>
  <conditionalFormatting sqref="J299:L301">
    <cfRule type="expression" dxfId="839" priority="288">
      <formula>$G299="Not Met"</formula>
    </cfRule>
    <cfRule type="expression" dxfId="838" priority="287">
      <formula>$J299&gt;0</formula>
    </cfRule>
  </conditionalFormatting>
  <conditionalFormatting sqref="J305:L309">
    <cfRule type="expression" dxfId="837" priority="266">
      <formula>$J305&gt;0</formula>
    </cfRule>
    <cfRule type="expression" dxfId="836" priority="267">
      <formula>$G305="Not Met"</formula>
    </cfRule>
  </conditionalFormatting>
  <conditionalFormatting sqref="K148:L148">
    <cfRule type="expression" dxfId="835" priority="105">
      <formula>$G$148="N/A"</formula>
    </cfRule>
  </conditionalFormatting>
  <conditionalFormatting sqref="K150:L150">
    <cfRule type="expression" dxfId="834" priority="72">
      <formula>$K$150&lt;&gt;""</formula>
    </cfRule>
  </conditionalFormatting>
  <conditionalFormatting sqref="K172:L172">
    <cfRule type="expression" dxfId="833" priority="141">
      <formula>$G$172="N/A"</formula>
    </cfRule>
  </conditionalFormatting>
  <conditionalFormatting sqref="N11">
    <cfRule type="expression" dxfId="832" priority="262">
      <formula>$G11="Not Met"</formula>
    </cfRule>
  </conditionalFormatting>
  <conditionalFormatting sqref="N13:N15">
    <cfRule type="expression" dxfId="831" priority="179">
      <formula>G13="Not Met"</formula>
    </cfRule>
  </conditionalFormatting>
  <conditionalFormatting sqref="N17">
    <cfRule type="expression" dxfId="830" priority="670">
      <formula>$G$17="Not Met"</formula>
    </cfRule>
  </conditionalFormatting>
  <conditionalFormatting sqref="N18">
    <cfRule type="expression" dxfId="829" priority="669">
      <formula>$G$18="Not Met"</formula>
    </cfRule>
  </conditionalFormatting>
  <conditionalFormatting sqref="N19">
    <cfRule type="expression" dxfId="828" priority="668">
      <formula>$G$19="Not Met"</formula>
    </cfRule>
  </conditionalFormatting>
  <conditionalFormatting sqref="N23">
    <cfRule type="expression" dxfId="827" priority="593">
      <formula>$G$23="Not Met"</formula>
    </cfRule>
  </conditionalFormatting>
  <conditionalFormatting sqref="N25">
    <cfRule type="expression" dxfId="826" priority="261">
      <formula>$G24="Not Met"</formula>
    </cfRule>
  </conditionalFormatting>
  <conditionalFormatting sqref="N32">
    <cfRule type="expression" dxfId="825" priority="661">
      <formula>$G$32="Not Met"</formula>
    </cfRule>
  </conditionalFormatting>
  <conditionalFormatting sqref="N33:N34">
    <cfRule type="expression" dxfId="824" priority="660">
      <formula>$G$33="Not Met"</formula>
    </cfRule>
  </conditionalFormatting>
  <conditionalFormatting sqref="N35">
    <cfRule type="expression" dxfId="823" priority="659">
      <formula>$G$35="Not Met"</formula>
    </cfRule>
  </conditionalFormatting>
  <conditionalFormatting sqref="N41">
    <cfRule type="expression" dxfId="822" priority="4633">
      <formula>$G$40="Not Met"</formula>
    </cfRule>
  </conditionalFormatting>
  <conditionalFormatting sqref="N43">
    <cfRule type="expression" dxfId="821" priority="260">
      <formula>$G42="Not Met"</formula>
    </cfRule>
  </conditionalFormatting>
  <conditionalFormatting sqref="N44">
    <cfRule type="expression" dxfId="820" priority="611">
      <formula>$G$44="Not Met"</formula>
    </cfRule>
  </conditionalFormatting>
  <conditionalFormatting sqref="N47 N49 N72">
    <cfRule type="expression" dxfId="819" priority="4646">
      <formula>#REF!="Not Met"</formula>
    </cfRule>
  </conditionalFormatting>
  <conditionalFormatting sqref="N47">
    <cfRule type="expression" dxfId="818" priority="242">
      <formula>G46="Not Met"</formula>
    </cfRule>
  </conditionalFormatting>
  <conditionalFormatting sqref="N49">
    <cfRule type="expression" dxfId="817" priority="240">
      <formula>G48="Not Met"</formula>
    </cfRule>
  </conditionalFormatting>
  <conditionalFormatting sqref="N50">
    <cfRule type="expression" dxfId="816" priority="236">
      <formula>G50="Not Met"</formula>
    </cfRule>
  </conditionalFormatting>
  <conditionalFormatting sqref="N51">
    <cfRule type="expression" dxfId="815" priority="237">
      <formula>G50="Not Met"</formula>
    </cfRule>
  </conditionalFormatting>
  <conditionalFormatting sqref="N52">
    <cfRule type="expression" dxfId="814" priority="233">
      <formula>G52="Not Met"</formula>
    </cfRule>
  </conditionalFormatting>
  <conditionalFormatting sqref="N53">
    <cfRule type="expression" dxfId="813" priority="234">
      <formula>G52="Not Met"</formula>
    </cfRule>
  </conditionalFormatting>
  <conditionalFormatting sqref="N57">
    <cfRule type="expression" dxfId="812" priority="231">
      <formula>G57="Not Met"</formula>
    </cfRule>
  </conditionalFormatting>
  <conditionalFormatting sqref="N58">
    <cfRule type="expression" dxfId="811" priority="255">
      <formula>$G57="Not Met"</formula>
    </cfRule>
  </conditionalFormatting>
  <conditionalFormatting sqref="N59">
    <cfRule type="expression" dxfId="810" priority="229">
      <formula>G59="Not Met"</formula>
    </cfRule>
  </conditionalFormatting>
  <conditionalFormatting sqref="N60">
    <cfRule type="expression" dxfId="809" priority="608">
      <formula>$G$59="Not Met"</formula>
    </cfRule>
  </conditionalFormatting>
  <conditionalFormatting sqref="N61">
    <cfRule type="expression" dxfId="808" priority="4659">
      <formula>$G$61="Not Met"</formula>
    </cfRule>
  </conditionalFormatting>
  <conditionalFormatting sqref="N62">
    <cfRule type="expression" dxfId="807" priority="228">
      <formula>G61="Not Met"</formula>
    </cfRule>
  </conditionalFormatting>
  <conditionalFormatting sqref="N63:N64">
    <cfRule type="expression" dxfId="806" priority="606">
      <formula>$G$63="Not Met"</formula>
    </cfRule>
  </conditionalFormatting>
  <conditionalFormatting sqref="N68">
    <cfRule type="expression" dxfId="805" priority="605">
      <formula>$G$68="Not Met"</formula>
    </cfRule>
  </conditionalFormatting>
  <conditionalFormatting sqref="N69:N70">
    <cfRule type="expression" dxfId="804" priority="604">
      <formula>$G$69="Not Met"</formula>
    </cfRule>
  </conditionalFormatting>
  <conditionalFormatting sqref="N71">
    <cfRule type="expression" dxfId="803" priority="226">
      <formula>G71="Not Met"</formula>
    </cfRule>
  </conditionalFormatting>
  <conditionalFormatting sqref="N72">
    <cfRule type="expression" dxfId="802" priority="227">
      <formula>G71="Not Met"</formula>
    </cfRule>
  </conditionalFormatting>
  <conditionalFormatting sqref="N73">
    <cfRule type="expression" dxfId="801" priority="4669">
      <formula>$G$73="Not Met"</formula>
    </cfRule>
  </conditionalFormatting>
  <conditionalFormatting sqref="N74:N75">
    <cfRule type="expression" dxfId="800" priority="225">
      <formula>G73="Not Met"</formula>
    </cfRule>
  </conditionalFormatting>
  <conditionalFormatting sqref="N77">
    <cfRule type="expression" dxfId="799" priority="223">
      <formula>G77="Not Met"</formula>
    </cfRule>
  </conditionalFormatting>
  <conditionalFormatting sqref="N78:N81">
    <cfRule type="expression" dxfId="798" priority="224">
      <formula>G77="Not Met"</formula>
    </cfRule>
  </conditionalFormatting>
  <conditionalFormatting sqref="N82">
    <cfRule type="expression" dxfId="797" priority="221">
      <formula>G82="Not Met"</formula>
    </cfRule>
  </conditionalFormatting>
  <conditionalFormatting sqref="N83">
    <cfRule type="expression" dxfId="796" priority="222">
      <formula>G82="Not Met"</formula>
    </cfRule>
  </conditionalFormatting>
  <conditionalFormatting sqref="N88">
    <cfRule type="expression" dxfId="795" priority="219">
      <formula>G88="Not Met"</formula>
    </cfRule>
  </conditionalFormatting>
  <conditionalFormatting sqref="N89:N95">
    <cfRule type="expression" dxfId="794" priority="220">
      <formula>G88="Not Met"</formula>
    </cfRule>
  </conditionalFormatting>
  <conditionalFormatting sqref="N98">
    <cfRule type="expression" dxfId="793" priority="217">
      <formula>G98="Not Met"</formula>
    </cfRule>
  </conditionalFormatting>
  <conditionalFormatting sqref="N99:N101">
    <cfRule type="expression" dxfId="792" priority="218">
      <formula>G98="Not Met"</formula>
    </cfRule>
  </conditionalFormatting>
  <conditionalFormatting sqref="N102">
    <cfRule type="expression" dxfId="791" priority="215">
      <formula>G102="Not Met"</formula>
    </cfRule>
  </conditionalFormatting>
  <conditionalFormatting sqref="N103:N105">
    <cfRule type="expression" dxfId="790" priority="216">
      <formula>G102="Not Met"</formula>
    </cfRule>
  </conditionalFormatting>
  <conditionalFormatting sqref="N106:N108">
    <cfRule type="expression" dxfId="789" priority="551">
      <formula>$G106="Not Met"</formula>
    </cfRule>
  </conditionalFormatting>
  <conditionalFormatting sqref="N117:N118">
    <cfRule type="expression" dxfId="788" priority="250">
      <formula>$G117="Not Met"</formula>
    </cfRule>
  </conditionalFormatting>
  <conditionalFormatting sqref="N119:N120">
    <cfRule type="expression" dxfId="787" priority="248">
      <formula>$G119="Not Met"</formula>
    </cfRule>
  </conditionalFormatting>
  <conditionalFormatting sqref="N121">
    <cfRule type="expression" dxfId="786" priority="550">
      <formula>$G121="Not Met"</formula>
    </cfRule>
  </conditionalFormatting>
  <conditionalFormatting sqref="N124:N130">
    <cfRule type="expression" dxfId="785" priority="528">
      <formula>$G124="Not Met"</formula>
    </cfRule>
  </conditionalFormatting>
  <conditionalFormatting sqref="N132">
    <cfRule type="expression" dxfId="784" priority="247">
      <formula>$G132="Not Met"</formula>
    </cfRule>
  </conditionalFormatting>
  <conditionalFormatting sqref="N133">
    <cfRule type="expression" dxfId="783" priority="517">
      <formula>$G$133="Not Met"</formula>
    </cfRule>
  </conditionalFormatting>
  <conditionalFormatting sqref="N134">
    <cfRule type="expression" dxfId="782" priority="516">
      <formula>$G$134="Not Met"</formula>
    </cfRule>
  </conditionalFormatting>
  <conditionalFormatting sqref="N135">
    <cfRule type="expression" dxfId="781" priority="515">
      <formula>$G$135="Not Met"</formula>
    </cfRule>
  </conditionalFormatting>
  <conditionalFormatting sqref="N136">
    <cfRule type="expression" dxfId="780" priority="514">
      <formula>$G$136="Not Met"</formula>
    </cfRule>
  </conditionalFormatting>
  <conditionalFormatting sqref="N140:N141">
    <cfRule type="expression" dxfId="779" priority="246">
      <formula>$G140="Not Met"</formula>
    </cfRule>
  </conditionalFormatting>
  <conditionalFormatting sqref="N143">
    <cfRule type="expression" dxfId="778" priority="507">
      <formula>$G$143="Not Met"</formula>
    </cfRule>
  </conditionalFormatting>
  <conditionalFormatting sqref="N144">
    <cfRule type="expression" dxfId="777" priority="506">
      <formula>$G$144="Not Met"</formula>
    </cfRule>
  </conditionalFormatting>
  <conditionalFormatting sqref="N145:N146">
    <cfRule type="expression" dxfId="776" priority="503">
      <formula>$G$145="Not Met"</formula>
    </cfRule>
  </conditionalFormatting>
  <conditionalFormatting sqref="N151">
    <cfRule type="expression" dxfId="775" priority="86">
      <formula>$G$150="No"</formula>
    </cfRule>
  </conditionalFormatting>
  <conditionalFormatting sqref="N153:N154">
    <cfRule type="expression" dxfId="774" priority="502">
      <formula>$G$153="Not Met"</formula>
    </cfRule>
  </conditionalFormatting>
  <conditionalFormatting sqref="N156">
    <cfRule type="expression" dxfId="773" priority="501">
      <formula>$G$156="Not Met"</formula>
    </cfRule>
  </conditionalFormatting>
  <conditionalFormatting sqref="N157:N158">
    <cfRule type="expression" dxfId="772" priority="500">
      <formula>$G$157="Not Met"</formula>
    </cfRule>
  </conditionalFormatting>
  <conditionalFormatting sqref="N159:N160">
    <cfRule type="expression" dxfId="771" priority="499">
      <formula>$G$159="Not Met"</formula>
    </cfRule>
  </conditionalFormatting>
  <conditionalFormatting sqref="N163:N165">
    <cfRule type="expression" dxfId="770" priority="496">
      <formula>$G163="Not Met"</formula>
    </cfRule>
  </conditionalFormatting>
  <conditionalFormatting sqref="N170">
    <cfRule type="expression" dxfId="769" priority="495">
      <formula>$G170="Not Met"</formula>
    </cfRule>
  </conditionalFormatting>
  <conditionalFormatting sqref="N173">
    <cfRule type="expression" dxfId="768" priority="119">
      <formula>$G$172="No"</formula>
    </cfRule>
  </conditionalFormatting>
  <conditionalFormatting sqref="N175">
    <cfRule type="expression" dxfId="767" priority="213">
      <formula>G172="Yes"</formula>
    </cfRule>
  </conditionalFormatting>
  <conditionalFormatting sqref="N176">
    <cfRule type="expression" dxfId="766" priority="214">
      <formula>G175="Not Met"</formula>
    </cfRule>
  </conditionalFormatting>
  <conditionalFormatting sqref="N178">
    <cfRule type="expression" dxfId="765" priority="208">
      <formula>G172="Yes"</formula>
    </cfRule>
  </conditionalFormatting>
  <conditionalFormatting sqref="N179">
    <cfRule type="expression" dxfId="764" priority="209">
      <formula>G178="Not Met"</formula>
    </cfRule>
  </conditionalFormatting>
  <conditionalFormatting sqref="N180">
    <cfRule type="expression" dxfId="763" priority="456">
      <formula>$G$180="Not Met"</formula>
    </cfRule>
  </conditionalFormatting>
  <conditionalFormatting sqref="N181">
    <cfRule type="expression" dxfId="762" priority="455">
      <formula>$G$181="Not Met"</formula>
    </cfRule>
  </conditionalFormatting>
  <conditionalFormatting sqref="N182">
    <cfRule type="expression" dxfId="761" priority="454">
      <formula>$G$182="Not Met"</formula>
    </cfRule>
  </conditionalFormatting>
  <conditionalFormatting sqref="N183">
    <cfRule type="expression" dxfId="760" priority="453">
      <formula>$G$183="Not Met"</formula>
    </cfRule>
  </conditionalFormatting>
  <conditionalFormatting sqref="N187:N188">
    <cfRule type="expression" dxfId="759" priority="449">
      <formula>$G187="Not Met"</formula>
    </cfRule>
  </conditionalFormatting>
  <conditionalFormatting sqref="N189">
    <cfRule type="expression" dxfId="758" priority="206">
      <formula>G189="Not Met"</formula>
    </cfRule>
    <cfRule type="expression" dxfId="757" priority="207">
      <formula>G188="Not Met"</formula>
    </cfRule>
  </conditionalFormatting>
  <conditionalFormatting sqref="N190">
    <cfRule type="expression" dxfId="756" priority="204">
      <formula>G189="Not Met"</formula>
    </cfRule>
  </conditionalFormatting>
  <conditionalFormatting sqref="N191">
    <cfRule type="expression" dxfId="755" priority="203">
      <formula>G191="Not Met"</formula>
    </cfRule>
  </conditionalFormatting>
  <conditionalFormatting sqref="N192">
    <cfRule type="expression" dxfId="754" priority="205">
      <formula>G191="Not Met"</formula>
    </cfRule>
  </conditionalFormatting>
  <conditionalFormatting sqref="N194:N196">
    <cfRule type="expression" dxfId="753" priority="432">
      <formula>$G194="Not Met"</formula>
    </cfRule>
  </conditionalFormatting>
  <conditionalFormatting sqref="N198:N199">
    <cfRule type="expression" dxfId="752" priority="429">
      <formula>$G198="Not Met"</formula>
    </cfRule>
  </conditionalFormatting>
  <conditionalFormatting sqref="N203:N204">
    <cfRule type="expression" dxfId="751" priority="426">
      <formula>$G203="Not Met"</formula>
    </cfRule>
  </conditionalFormatting>
  <conditionalFormatting sqref="N208:N210">
    <cfRule type="expression" dxfId="750" priority="425">
      <formula>$G208="Not Met"</formula>
    </cfRule>
  </conditionalFormatting>
  <conditionalFormatting sqref="N214">
    <cfRule type="expression" dxfId="749" priority="200">
      <formula>G214="Not Met"</formula>
    </cfRule>
  </conditionalFormatting>
  <conditionalFormatting sqref="N215:N216">
    <cfRule type="expression" dxfId="748" priority="201">
      <formula>G214="Not Met"</formula>
    </cfRule>
  </conditionalFormatting>
  <conditionalFormatting sqref="N220">
    <cfRule type="expression" dxfId="747" priority="198">
      <formula>G220="Not Met"</formula>
    </cfRule>
  </conditionalFormatting>
  <conditionalFormatting sqref="N221:N222">
    <cfRule type="expression" dxfId="746" priority="199">
      <formula>G220="Not Met"</formula>
    </cfRule>
  </conditionalFormatting>
  <conditionalFormatting sqref="N224:N226">
    <cfRule type="expression" dxfId="745" priority="411">
      <formula>$G224="Not Met"</formula>
    </cfRule>
  </conditionalFormatting>
  <conditionalFormatting sqref="N230:N232">
    <cfRule type="expression" dxfId="744" priority="408">
      <formula>$G230="Not Met"</formula>
    </cfRule>
  </conditionalFormatting>
  <conditionalFormatting sqref="N237:N239">
    <cfRule type="expression" dxfId="743" priority="407">
      <formula>$G237="Not Met"</formula>
    </cfRule>
  </conditionalFormatting>
  <conditionalFormatting sqref="N243:N245">
    <cfRule type="expression" dxfId="742" priority="404">
      <formula>$G243="Not Met"</formula>
    </cfRule>
  </conditionalFormatting>
  <conditionalFormatting sqref="N247">
    <cfRule type="expression" dxfId="741" priority="398">
      <formula>$G247="Not Met"</formula>
    </cfRule>
  </conditionalFormatting>
  <conditionalFormatting sqref="N248">
    <cfRule type="expression" dxfId="740" priority="196">
      <formula>G248="Not Met"</formula>
    </cfRule>
  </conditionalFormatting>
  <conditionalFormatting sqref="N249">
    <cfRule type="expression" dxfId="739" priority="197">
      <formula>G248="Not Met"</formula>
    </cfRule>
  </conditionalFormatting>
  <conditionalFormatting sqref="N252">
    <cfRule type="expression" dxfId="738" priority="194">
      <formula>G252="Not Met"</formula>
    </cfRule>
  </conditionalFormatting>
  <conditionalFormatting sqref="N253:N254">
    <cfRule type="expression" dxfId="737" priority="195">
      <formula>G252="Not Met"</formula>
    </cfRule>
  </conditionalFormatting>
  <conditionalFormatting sqref="N255">
    <cfRule type="expression" dxfId="736" priority="192">
      <formula>G255="Not Met"</formula>
    </cfRule>
  </conditionalFormatting>
  <conditionalFormatting sqref="N256">
    <cfRule type="expression" dxfId="735" priority="193">
      <formula>G255="Not Met"</formula>
    </cfRule>
  </conditionalFormatting>
  <conditionalFormatting sqref="N257">
    <cfRule type="expression" dxfId="734" priority="189">
      <formula>G257="Not Met"</formula>
    </cfRule>
  </conditionalFormatting>
  <conditionalFormatting sqref="N258:N259">
    <cfRule type="expression" dxfId="733" priority="190">
      <formula>G257="Not Met"</formula>
    </cfRule>
  </conditionalFormatting>
  <conditionalFormatting sqref="N261">
    <cfRule type="expression" dxfId="732" priority="187">
      <formula>G261="Not Met"</formula>
    </cfRule>
  </conditionalFormatting>
  <conditionalFormatting sqref="N262:N263">
    <cfRule type="expression" dxfId="731" priority="188">
      <formula>G261="Not Met"</formula>
    </cfRule>
  </conditionalFormatting>
  <conditionalFormatting sqref="N267:N285">
    <cfRule type="expression" dxfId="730" priority="330">
      <formula>$G267="Not Met"</formula>
    </cfRule>
  </conditionalFormatting>
  <conditionalFormatting sqref="N289">
    <cfRule type="expression" dxfId="729" priority="327">
      <formula>$G289="Not Met"</formula>
    </cfRule>
  </conditionalFormatting>
  <conditionalFormatting sqref="N291:N297">
    <cfRule type="expression" dxfId="728" priority="292">
      <formula>$G291="Not Met"</formula>
    </cfRule>
  </conditionalFormatting>
  <conditionalFormatting sqref="N299:N301">
    <cfRule type="expression" dxfId="727" priority="286">
      <formula>$G299="Not Met"</formula>
    </cfRule>
  </conditionalFormatting>
  <conditionalFormatting sqref="N303">
    <cfRule type="expression" dxfId="726" priority="185">
      <formula>G303="Not Met"</formula>
    </cfRule>
  </conditionalFormatting>
  <conditionalFormatting sqref="N304">
    <cfRule type="expression" dxfId="725" priority="186">
      <formula>G303="Not Met"</formula>
    </cfRule>
  </conditionalFormatting>
  <conditionalFormatting sqref="N305:N309">
    <cfRule type="expression" dxfId="724" priority="265">
      <formula>$G305="Not Met"</formula>
    </cfRule>
  </conditionalFormatting>
  <conditionalFormatting sqref="N314">
    <cfRule type="expression" dxfId="723" priority="183">
      <formula>G314="Not Met"</formula>
    </cfRule>
  </conditionalFormatting>
  <conditionalFormatting sqref="N315:N318">
    <cfRule type="expression" dxfId="722" priority="184">
      <formula>G314="Not Met"</formula>
    </cfRule>
  </conditionalFormatting>
  <conditionalFormatting sqref="N320">
    <cfRule type="expression" dxfId="721" priority="181">
      <formula>G320="Not Met"</formula>
    </cfRule>
  </conditionalFormatting>
  <conditionalFormatting sqref="N321">
    <cfRule type="expression" dxfId="720" priority="182">
      <formula>G320="Not Met"</formula>
    </cfRule>
  </conditionalFormatting>
  <conditionalFormatting sqref="N324:N325">
    <cfRule type="expression" dxfId="719" priority="2379">
      <formula>#REF!-#REF!&gt;=1</formula>
    </cfRule>
  </conditionalFormatting>
  <conditionalFormatting sqref="O324:P325">
    <cfRule type="expression" dxfId="718" priority="2378">
      <formula>#REF!-#REF!&gt;=1</formula>
    </cfRule>
  </conditionalFormatting>
  <dataValidations count="14">
    <dataValidation type="list" allowBlank="1" showInputMessage="1" showErrorMessage="1" sqref="G11" xr:uid="{00000000-0002-0000-0200-000001000000}">
      <formula1>"Met, Not Met"</formula1>
    </dataValidation>
    <dataValidation type="list" allowBlank="1" showInputMessage="1" showErrorMessage="1" sqref="H50 H90:H95 H263:H264 H133:H136 H121 H257 H140:H141 H143:H146 H156:H160 H187 H316:H318 H100:H102 H59 H170 H178 H203:H204 H285 H291:H297 H299:H301 H289 H243:H245 H305:H309 H230:H233 H124:H130 H175 H214 H163:H165 H208:H210 H224:H226 H32:H35 H237:H239 H194 H17:H19 H254:H255 H153:H154 H106:H109 H268:H283 H198:H199 H11 H322 H15 H40 H44:H46 H48 H52 H57 H63:H64 H75 H79:H82 H222 H247:H248 H13 H42 H61 H68:H71 H73 H77 H98 H220 H303 H314 H320 H23:H24 H26:H30 H181:H183 G172:G173" xr:uid="{00000000-0002-0000-0200-000002000000}">
      <formula1>"Yes, No, N/A"</formula1>
    </dataValidation>
    <dataValidation type="list" allowBlank="1" showInputMessage="1" showErrorMessage="1" sqref="C11:F11" xr:uid="{00000000-0002-0000-0200-000003000000}">
      <formula1>Sponsorship</formula1>
    </dataValidation>
    <dataValidation type="list" allowBlank="1" showInputMessage="1" showErrorMessage="1" sqref="G233 G264 G322" xr:uid="{00000000-0002-0000-0200-000004000000}">
      <formula1>"Met, Not Met, N/A"</formula1>
    </dataValidation>
    <dataValidation type="list" allowBlank="1" showInputMessage="1" showErrorMessage="1" sqref="G138 G326" xr:uid="{00000000-0002-0000-0200-000005000000}">
      <formula1>"Yes, N/A"</formula1>
    </dataValidation>
    <dataValidation type="list" allowBlank="1" showInputMessage="1" showErrorMessage="1" sqref="J138" xr:uid="{00000000-0002-0000-0200-000006000000}">
      <formula1>"1, 2, 3, 4, 5"</formula1>
    </dataValidation>
    <dataValidation type="list" allowBlank="1" showInputMessage="1" showErrorMessage="1" sqref="J150" xr:uid="{00000000-0002-0000-0200-000007000000}">
      <formula1>"1, 2, 3, 4, 5, 6, 7, 8, 9, 10, 11, 12, 13, 14, 15, 16, 17, 18, 19, 20"</formula1>
    </dataValidation>
    <dataValidation type="list" allowBlank="1" showInputMessage="1" showErrorMessage="1" sqref="J172" xr:uid="{00000000-0002-0000-0200-000008000000}">
      <formula1>"1, 1 (Same as PD), 2, 3, 4, 5, 6, 7, 8, 9, 10"</formula1>
    </dataValidation>
    <dataValidation type="list" allowBlank="1" showInputMessage="1" showErrorMessage="1" sqref="J370 J368 J374 J380 J384 J388 J393:J394 G334 K342:K344 J364 G185 G149:G150 G148" xr:uid="{00000000-0002-0000-0200-000009000000}">
      <formula1>"Yes, No"</formula1>
    </dataValidation>
    <dataValidation type="list" allowBlank="1" showInputMessage="1" showErrorMessage="1" sqref="G325" xr:uid="{00000000-0002-0000-0200-00000B000000}">
      <formula1>"N/A, 1, 2, 3, 4"</formula1>
    </dataValidation>
    <dataValidation type="list" allowBlank="1" showInputMessage="1" showErrorMessage="1" sqref="G324" xr:uid="{48C5D2C4-E69C-466D-8A85-3225E56D83FF}">
      <formula1>"N/A, 1, 2, 3, 4, 5, 6, 7, 8, 9, 10, 11, 12, 13, 14, 15, 16"</formula1>
    </dataValidation>
    <dataValidation type="list" allowBlank="1" showInputMessage="1" showErrorMessage="1" sqref="G327" xr:uid="{4D0E0018-08C2-4FBE-B316-47E054EA1417}">
      <formula1>"1, 2, 3, 4"</formula1>
    </dataValidation>
    <dataValidation type="list" allowBlank="1" showInputMessage="1" showErrorMessage="1" sqref="J185" xr:uid="{553E93ED-9F58-4AAD-8E67-CA9B7114ADE2}">
      <formula1>"1, 1 (Same as PD), 2, 3, 4, 5"</formula1>
    </dataValidation>
    <dataValidation type="list" allowBlank="1" showInputMessage="1" showErrorMessage="1" sqref="G320 G32:G35 G17:G19 G82 G117:G121 G124:G130 G132:G136 G13:G15 G143:G146 G140:G141 G156:G160 G153:G154 G163:G165 G170 G175 G194:G196 G198:G199 G203:G204 G208:G210 G224:G226 G230:G232 G237:G239 G243:G245 G191 G267:G285 G289 G291:G297 G299:G301 G23:G24 G40 G44:G46 G48 G50 G52 G57 G68:G71 G187:G189 G247:G248 G255 G42 G59 G61 G63:G64 G73 G77 G88 G98 G102 G106:G109 G178 G180:G183 G214 G220 G252 G257 G261 G303 G305:G309 G314" xr:uid="{ED57B0DB-3066-40ED-9B07-1E5AC0223FDE}">
      <formula1>MetNADNE</formula1>
    </dataValidation>
  </dataValidations>
  <hyperlinks>
    <hyperlink ref="I5" location="'SV Findings'!G199" display="'SV Findings'!G199" xr:uid="{00000000-0004-0000-0200-000000000000}"/>
    <hyperlink ref="J5" location="'SV Findings'!G222" display="'SV Findings'!G222" xr:uid="{00000000-0004-0000-0200-000001000000}"/>
    <hyperlink ref="E5:F5" location="'SV Findings'!G19" display="'SV Findings'!G19" xr:uid="{00000000-0004-0000-0200-000002000000}"/>
    <hyperlink ref="G5:H5" location="'SV Findings'!G36" display="'SV Findings'!G36" xr:uid="{00000000-0004-0000-0200-000003000000}"/>
    <hyperlink ref="C5:D5" location="'SV Findings'!G10" display="'SV Findings'!G10" xr:uid="{00000000-0004-0000-0200-000004000000}"/>
  </hyperlinks>
  <pageMargins left="0.45" right="0.45" top="0.5" bottom="0.5" header="0.3" footer="0.3"/>
  <pageSetup scale="53" fitToHeight="0" orientation="portrait" r:id="rId3"/>
  <rowBreaks count="13" manualBreakCount="13">
    <brk id="30" min="1" max="11" man="1"/>
    <brk id="62" min="1" max="11" man="1"/>
    <brk id="89" min="1" max="11" man="1"/>
    <brk id="109" min="1" max="11" man="1"/>
    <brk id="134" min="1" max="11" man="1"/>
    <brk id="165" min="1" max="11" man="1"/>
    <brk id="192" min="1" max="11" man="1"/>
    <brk id="213" min="1" max="11" man="1"/>
    <brk id="232" min="1" max="11" man="1"/>
    <brk id="259" min="1" max="11" man="1"/>
    <brk id="288" min="1" max="11" man="1"/>
    <brk id="321" min="1" max="11" man="1"/>
    <brk id="331" min="1" max="11" man="1"/>
  </rowBreaks>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pageSetUpPr fitToPage="1"/>
  </sheetPr>
  <dimension ref="A2:XFD348"/>
  <sheetViews>
    <sheetView showGridLines="0" zoomScaleNormal="100" workbookViewId="0">
      <selection activeCell="B30" sqref="B30:G30"/>
    </sheetView>
  </sheetViews>
  <sheetFormatPr baseColWidth="10" defaultColWidth="9.1640625" defaultRowHeight="14" x14ac:dyDescent="0.15"/>
  <cols>
    <col min="1" max="1" width="3.6640625" customWidth="1"/>
    <col min="2" max="2" width="12.5" customWidth="1"/>
    <col min="3" max="3" width="35" customWidth="1"/>
    <col min="4" max="4" width="15.6640625" customWidth="1"/>
    <col min="5" max="5" width="30.6640625" customWidth="1"/>
    <col min="6" max="6" width="10.6640625" customWidth="1"/>
    <col min="7" max="7" width="40.6640625" customWidth="1"/>
    <col min="8" max="8" width="3.6640625" customWidth="1"/>
    <col min="9" max="9" width="23.5" hidden="1" customWidth="1"/>
    <col min="10" max="10" width="32.1640625" customWidth="1"/>
    <col min="11" max="11" width="15.6640625" customWidth="1"/>
    <col min="12" max="12" width="30.6640625" customWidth="1"/>
    <col min="13" max="13" width="10.6640625" customWidth="1"/>
    <col min="14" max="14" width="40.6640625" customWidth="1"/>
    <col min="15" max="15" width="3.6640625" customWidth="1"/>
    <col min="16" max="16" width="12.5" customWidth="1"/>
    <col min="17" max="17" width="32.1640625" customWidth="1"/>
    <col min="18" max="18" width="15.6640625" customWidth="1"/>
    <col min="19" max="19" width="30.6640625" customWidth="1"/>
    <col min="20" max="20" width="10.6640625" customWidth="1"/>
    <col min="21" max="21" width="40.6640625" customWidth="1"/>
    <col min="22" max="22" width="3.6640625" customWidth="1"/>
    <col min="23" max="23" width="12.5" customWidth="1"/>
    <col min="24" max="24" width="32.1640625" customWidth="1"/>
    <col min="25" max="25" width="15.6640625" customWidth="1"/>
    <col min="26" max="26" width="30.6640625" customWidth="1"/>
    <col min="27" max="27" width="10.6640625" customWidth="1"/>
    <col min="28" max="28" width="40.6640625" customWidth="1"/>
    <col min="29" max="29" width="3.6640625" customWidth="1"/>
    <col min="30" max="30" width="12.5" customWidth="1"/>
    <col min="31" max="31" width="32.1640625" customWidth="1"/>
    <col min="32" max="32" width="15.6640625" customWidth="1"/>
    <col min="33" max="33" width="30.6640625" customWidth="1"/>
    <col min="34" max="34" width="10.6640625" customWidth="1"/>
    <col min="35" max="35" width="40.6640625" customWidth="1"/>
    <col min="36" max="36" width="3.6640625" customWidth="1"/>
    <col min="37" max="37" width="12.5" customWidth="1"/>
    <col min="38" max="38" width="32.1640625" customWidth="1"/>
    <col min="39" max="39" width="15.6640625" customWidth="1"/>
    <col min="40" max="40" width="30.6640625" customWidth="1"/>
    <col min="41" max="41" width="10.6640625" customWidth="1"/>
    <col min="42" max="42" width="40.6640625" customWidth="1"/>
    <col min="43" max="43" width="3.6640625" customWidth="1"/>
    <col min="44" max="44" width="12.5" customWidth="1"/>
    <col min="45" max="45" width="32.1640625" customWidth="1"/>
    <col min="46" max="46" width="15.6640625" customWidth="1"/>
    <col min="47" max="47" width="30.6640625" customWidth="1"/>
    <col min="48" max="48" width="10.6640625" customWidth="1"/>
    <col min="49" max="49" width="40.6640625" customWidth="1"/>
    <col min="50" max="50" width="3.6640625" customWidth="1"/>
    <col min="51" max="51" width="12.5" customWidth="1"/>
    <col min="52" max="52" width="32.1640625" customWidth="1"/>
    <col min="53" max="53" width="15.6640625" customWidth="1"/>
    <col min="54" max="54" width="30.6640625" customWidth="1"/>
    <col min="55" max="55" width="10.6640625" customWidth="1"/>
    <col min="56" max="56" width="40.6640625" customWidth="1"/>
    <col min="57" max="57" width="3.6640625" customWidth="1"/>
    <col min="58" max="58" width="12.5" customWidth="1"/>
    <col min="59" max="59" width="32.1640625" customWidth="1"/>
    <col min="60" max="60" width="15.6640625" customWidth="1"/>
    <col min="61" max="61" width="30.6640625" customWidth="1"/>
    <col min="62" max="62" width="10.6640625" customWidth="1"/>
    <col min="63" max="63" width="40.6640625" customWidth="1"/>
    <col min="64" max="64" width="3.6640625" customWidth="1"/>
    <col min="65" max="65" width="12.5" customWidth="1"/>
    <col min="66" max="66" width="32.1640625" customWidth="1"/>
    <col min="67" max="67" width="15.6640625" customWidth="1"/>
    <col min="68" max="68" width="30.6640625" customWidth="1"/>
    <col min="69" max="69" width="10.6640625" customWidth="1"/>
    <col min="70" max="70" width="40.6640625" customWidth="1"/>
    <col min="71" max="71" width="3.6640625" customWidth="1"/>
  </cols>
  <sheetData>
    <row r="2" spans="2:12" ht="83.25" customHeight="1" x14ac:dyDescent="0.15">
      <c r="B2" s="859" t="s">
        <v>198</v>
      </c>
      <c r="C2" s="859"/>
      <c r="D2" s="859"/>
      <c r="E2" s="859"/>
      <c r="F2" s="859"/>
      <c r="G2" s="860"/>
    </row>
    <row r="3" spans="2:12" ht="20.25" customHeight="1" x14ac:dyDescent="0.2">
      <c r="B3" s="848">
        <f>'Cover Page'!D10</f>
        <v>0</v>
      </c>
      <c r="C3" s="849"/>
      <c r="D3" s="831">
        <f>'Cover Page'!D12</f>
        <v>0</v>
      </c>
      <c r="E3" s="831"/>
      <c r="F3" s="831"/>
      <c r="G3" s="832"/>
    </row>
    <row r="4" spans="2:12" ht="35" customHeight="1" x14ac:dyDescent="0.15">
      <c r="B4" s="833" t="s">
        <v>457</v>
      </c>
      <c r="C4" s="834"/>
      <c r="D4" s="834"/>
      <c r="E4" s="834"/>
      <c r="F4" s="834"/>
      <c r="G4" s="835"/>
    </row>
    <row r="5" spans="2:12" s="146" customFormat="1" ht="27" customHeight="1" x14ac:dyDescent="0.15">
      <c r="B5" s="803" t="str">
        <f>IF('Cover Page'!$D$8&lt;&gt;"Please Select",'Cover Page'!$D$8, "")</f>
        <v/>
      </c>
      <c r="C5" s="803"/>
      <c r="D5" s="803"/>
      <c r="E5" s="803"/>
      <c r="F5" s="803"/>
      <c r="G5" s="804"/>
      <c r="H5"/>
      <c r="I5"/>
      <c r="J5"/>
      <c r="K5"/>
      <c r="L5"/>
    </row>
    <row r="6" spans="2:12" s="7" customFormat="1" ht="47" customHeight="1" x14ac:dyDescent="0.15">
      <c r="B6" s="836" t="s">
        <v>742</v>
      </c>
      <c r="C6" s="837"/>
      <c r="D6" s="837"/>
      <c r="E6" s="837"/>
      <c r="F6" s="837"/>
      <c r="G6" s="838"/>
    </row>
    <row r="7" spans="2:12" s="7" customFormat="1" ht="138" customHeight="1" x14ac:dyDescent="0.15">
      <c r="B7" s="839" t="s">
        <v>743</v>
      </c>
      <c r="C7" s="840"/>
      <c r="D7" s="840"/>
      <c r="E7" s="840"/>
      <c r="F7" s="840"/>
      <c r="G7" s="841"/>
    </row>
    <row r="8" spans="2:12" ht="66" customHeight="1" x14ac:dyDescent="0.15">
      <c r="B8" s="864" t="s">
        <v>801</v>
      </c>
      <c r="C8" s="865"/>
      <c r="D8" s="865"/>
      <c r="E8" s="865"/>
      <c r="F8" s="865"/>
      <c r="G8" s="866"/>
    </row>
    <row r="9" spans="2:12" s="146" customFormat="1" ht="27" customHeight="1" x14ac:dyDescent="0.15">
      <c r="B9" s="803" t="str">
        <f>IF('Cover Page'!$D$8&lt;&gt;"Please Select",'Cover Page'!$D$8, "")</f>
        <v/>
      </c>
      <c r="C9" s="803"/>
      <c r="D9" s="803"/>
      <c r="E9" s="803"/>
      <c r="F9" s="803"/>
      <c r="G9" s="804"/>
      <c r="H9"/>
      <c r="I9"/>
      <c r="J9"/>
      <c r="K9"/>
      <c r="L9"/>
    </row>
    <row r="10" spans="2:12" ht="24.75" customHeight="1" x14ac:dyDescent="0.15">
      <c r="B10" s="808" t="s">
        <v>895</v>
      </c>
      <c r="C10" s="809"/>
      <c r="D10" s="810"/>
      <c r="E10" s="810"/>
      <c r="F10" s="810"/>
      <c r="G10" s="811"/>
    </row>
    <row r="11" spans="2:12" ht="65.25" customHeight="1" x14ac:dyDescent="0.15">
      <c r="B11" s="502" t="s">
        <v>896</v>
      </c>
      <c r="C11" s="503"/>
      <c r="D11" s="503"/>
      <c r="E11" s="503"/>
      <c r="F11" s="503"/>
      <c r="G11" s="504"/>
    </row>
    <row r="12" spans="2:12" ht="53.25" customHeight="1" x14ac:dyDescent="0.15">
      <c r="B12" s="818" t="s">
        <v>449</v>
      </c>
      <c r="C12" s="819"/>
      <c r="D12" s="819"/>
      <c r="E12" s="819"/>
      <c r="F12" s="819"/>
      <c r="G12" s="820"/>
      <c r="I12" s="320" t="s">
        <v>893</v>
      </c>
    </row>
    <row r="13" spans="2:12" s="2" customFormat="1" ht="17" x14ac:dyDescent="0.15">
      <c r="B13" s="217" t="s">
        <v>165</v>
      </c>
      <c r="C13" s="845"/>
      <c r="D13" s="846"/>
      <c r="E13" s="846"/>
      <c r="F13" s="846"/>
      <c r="G13" s="847"/>
    </row>
    <row r="14" spans="2:12" s="2" customFormat="1" ht="17" x14ac:dyDescent="0.15">
      <c r="B14" s="217" t="s">
        <v>207</v>
      </c>
      <c r="C14" s="845"/>
      <c r="D14" s="846"/>
      <c r="E14" s="846"/>
      <c r="F14" s="846"/>
      <c r="G14" s="847"/>
    </row>
    <row r="15" spans="2:12" s="2" customFormat="1" ht="17" x14ac:dyDescent="0.15">
      <c r="B15" s="217" t="s">
        <v>166</v>
      </c>
      <c r="C15" s="845"/>
      <c r="D15" s="846"/>
      <c r="E15" s="846"/>
      <c r="F15" s="846"/>
      <c r="G15" s="847"/>
    </row>
    <row r="16" spans="2:12" s="2" customFormat="1" ht="17" x14ac:dyDescent="0.15">
      <c r="B16" s="217" t="s">
        <v>167</v>
      </c>
      <c r="C16" s="845"/>
      <c r="D16" s="846"/>
      <c r="E16" s="846"/>
      <c r="F16" s="846"/>
      <c r="G16" s="847"/>
    </row>
    <row r="17" spans="2:23" s="2" customFormat="1" ht="17" x14ac:dyDescent="0.15">
      <c r="B17" s="217" t="s">
        <v>168</v>
      </c>
      <c r="C17" s="845"/>
      <c r="D17" s="846"/>
      <c r="E17" s="846"/>
      <c r="F17" s="846"/>
      <c r="G17" s="847"/>
    </row>
    <row r="18" spans="2:23" s="2" customFormat="1" ht="17" x14ac:dyDescent="0.15">
      <c r="B18" s="217" t="s">
        <v>169</v>
      </c>
      <c r="C18" s="845"/>
      <c r="D18" s="846"/>
      <c r="E18" s="846"/>
      <c r="F18" s="846"/>
      <c r="G18" s="847"/>
      <c r="Q18" s="49"/>
    </row>
    <row r="19" spans="2:23" s="2" customFormat="1" ht="17" x14ac:dyDescent="0.15">
      <c r="B19" s="217" t="s">
        <v>170</v>
      </c>
      <c r="C19" s="845"/>
      <c r="D19" s="846"/>
      <c r="E19" s="846"/>
      <c r="F19" s="846"/>
      <c r="G19" s="847"/>
      <c r="Q19" s="49"/>
    </row>
    <row r="20" spans="2:23" s="2" customFormat="1" ht="17" x14ac:dyDescent="0.15">
      <c r="B20" s="217" t="s">
        <v>171</v>
      </c>
      <c r="C20" s="845"/>
      <c r="D20" s="846"/>
      <c r="E20" s="846"/>
      <c r="F20" s="846"/>
      <c r="G20" s="847"/>
      <c r="Q20" s="49"/>
    </row>
    <row r="21" spans="2:23" s="2" customFormat="1" ht="17" x14ac:dyDescent="0.15">
      <c r="B21" s="217" t="s">
        <v>172</v>
      </c>
      <c r="C21" s="845"/>
      <c r="D21" s="846"/>
      <c r="E21" s="846"/>
      <c r="F21" s="846"/>
      <c r="G21" s="847"/>
      <c r="Q21" s="49"/>
    </row>
    <row r="22" spans="2:23" s="2" customFormat="1" ht="17" x14ac:dyDescent="0.15">
      <c r="B22" s="217" t="s">
        <v>173</v>
      </c>
      <c r="C22" s="845"/>
      <c r="D22" s="846"/>
      <c r="E22" s="846"/>
      <c r="F22" s="846"/>
      <c r="G22" s="847"/>
      <c r="Q22" s="49"/>
    </row>
    <row r="23" spans="2:23" s="2" customFormat="1" ht="17" x14ac:dyDescent="0.15">
      <c r="B23" s="217" t="s">
        <v>174</v>
      </c>
      <c r="C23" s="845"/>
      <c r="D23" s="846"/>
      <c r="E23" s="846"/>
      <c r="F23" s="846"/>
      <c r="G23" s="847"/>
      <c r="Q23" s="49"/>
    </row>
    <row r="24" spans="2:23" s="2" customFormat="1" ht="17" x14ac:dyDescent="0.15">
      <c r="B24" s="217" t="s">
        <v>175</v>
      </c>
      <c r="C24" s="845"/>
      <c r="D24" s="846"/>
      <c r="E24" s="846"/>
      <c r="F24" s="846"/>
      <c r="G24" s="847"/>
      <c r="Q24" s="49"/>
    </row>
    <row r="25" spans="2:23" s="2" customFormat="1" ht="17" x14ac:dyDescent="0.15">
      <c r="B25" s="217" t="s">
        <v>176</v>
      </c>
      <c r="C25" s="845"/>
      <c r="D25" s="846"/>
      <c r="E25" s="846"/>
      <c r="F25" s="846"/>
      <c r="G25" s="847"/>
      <c r="Q25" s="49"/>
    </row>
    <row r="26" spans="2:23" s="2" customFormat="1" ht="17" x14ac:dyDescent="0.15">
      <c r="B26" s="217" t="s">
        <v>177</v>
      </c>
      <c r="C26" s="845"/>
      <c r="D26" s="846"/>
      <c r="E26" s="846"/>
      <c r="F26" s="846"/>
      <c r="G26" s="847"/>
      <c r="Q26" s="49"/>
      <c r="R26" s="49"/>
      <c r="S26" s="49"/>
      <c r="T26" s="49"/>
      <c r="U26" s="49"/>
      <c r="V26" s="49"/>
      <c r="W26" s="49"/>
    </row>
    <row r="27" spans="2:23" s="2" customFormat="1" ht="17" x14ac:dyDescent="0.15">
      <c r="B27" s="217" t="s">
        <v>178</v>
      </c>
      <c r="C27" s="845"/>
      <c r="D27" s="846"/>
      <c r="E27" s="846"/>
      <c r="F27" s="846"/>
      <c r="G27" s="847"/>
      <c r="Q27" s="49"/>
      <c r="R27" s="49"/>
      <c r="S27" s="49"/>
      <c r="T27" s="49"/>
      <c r="U27" s="49"/>
      <c r="V27" s="49"/>
      <c r="W27" s="49"/>
    </row>
    <row r="28" spans="2:23" ht="24.75" customHeight="1" x14ac:dyDescent="0.15">
      <c r="B28" s="808" t="s">
        <v>894</v>
      </c>
      <c r="C28" s="809"/>
      <c r="D28" s="810"/>
      <c r="E28" s="810"/>
      <c r="F28" s="810"/>
      <c r="G28" s="811"/>
      <c r="Q28" s="11"/>
      <c r="R28" s="11"/>
      <c r="S28" s="11"/>
      <c r="T28" s="11"/>
      <c r="U28" s="11"/>
      <c r="V28" s="11"/>
      <c r="W28" s="11"/>
    </row>
    <row r="29" spans="2:23" ht="31.5" customHeight="1" x14ac:dyDescent="0.15">
      <c r="B29" s="850" t="s">
        <v>744</v>
      </c>
      <c r="C29" s="851"/>
      <c r="D29" s="851"/>
      <c r="E29" s="851"/>
      <c r="F29" s="851"/>
      <c r="G29" s="852"/>
      <c r="H29" s="812"/>
      <c r="I29" s="812"/>
      <c r="J29" s="812"/>
      <c r="K29" s="812"/>
      <c r="L29" s="812"/>
      <c r="M29" s="812"/>
      <c r="N29" s="812"/>
      <c r="O29" s="812"/>
      <c r="Q29" s="11"/>
      <c r="R29" s="11"/>
      <c r="S29" s="11"/>
      <c r="T29" s="11"/>
      <c r="U29" s="11"/>
      <c r="V29" s="11"/>
      <c r="W29" s="11"/>
    </row>
    <row r="30" spans="2:23" ht="71.25" customHeight="1" x14ac:dyDescent="0.15">
      <c r="B30" s="853" t="str">
        <f>IF('Satellite(s)'!M4&lt;&gt;0,"All areas of non-compliance identified on the SV Findings tab as 'Not Met' for the main location and any satellite locations are listed below by the appropriate Standard(s) along with the"&amp;" Standard heading and a rationale why it is NOT met.  The Site Visit Team should include any further comments in the 'Additional Comments' column. "&amp;"The row height can be manually adjusted by placing the cursor over the row line and 'pulling' the row down.  Do not delete any rows.","All areas of non-compliance identified on the SV Findings tab as 'Not Met' are listed below by the appropriate Standard(s) along with the"&amp;" Standard heading and a rationale why it is NOT met.  "&amp;" The Site Visit Team should include any further comments in the 'Additional Comments' column. "&amp;"The row height can be manually adjusted by placing the cursor over the row line and 'pulling' the row down.  Do not delete any rows.")</f>
        <v>All areas of non-compliance identified on the SV Findings tab as 'Not Met' are listed below by the appropriate Standard(s) along with the Standard heading and a rationale why it is NOT met.   The Site Visit Team should include any further comments in the 'Additional Comments' column. The row height can be manually adjusted by placing the cursor over the row line and 'pulling' the row down.  Do not delete any rows.</v>
      </c>
      <c r="C30" s="854"/>
      <c r="D30" s="854"/>
      <c r="E30" s="854"/>
      <c r="F30" s="854"/>
      <c r="G30" s="855"/>
      <c r="H30" s="812"/>
      <c r="I30" s="812"/>
      <c r="J30" s="812"/>
      <c r="K30" s="812"/>
      <c r="L30" s="812"/>
      <c r="M30" s="812"/>
      <c r="N30" s="812"/>
      <c r="O30" s="812"/>
      <c r="Q30" s="11"/>
      <c r="R30" s="11"/>
      <c r="S30" s="11"/>
      <c r="T30" s="11"/>
      <c r="U30" s="11"/>
      <c r="V30" s="11"/>
      <c r="W30" s="11"/>
    </row>
    <row r="31" spans="2:23" ht="24" customHeight="1" x14ac:dyDescent="0.15">
      <c r="B31" s="842" t="s">
        <v>450</v>
      </c>
      <c r="C31" s="843"/>
      <c r="D31" s="842" t="s">
        <v>179</v>
      </c>
      <c r="E31" s="843"/>
      <c r="F31" s="844"/>
      <c r="G31" s="256" t="s">
        <v>197</v>
      </c>
      <c r="H31" s="869"/>
      <c r="I31" s="869"/>
      <c r="J31" s="869"/>
      <c r="K31" s="869"/>
      <c r="L31" s="869"/>
      <c r="M31" s="869"/>
      <c r="N31" s="869"/>
      <c r="O31" s="869"/>
      <c r="Q31" s="11"/>
      <c r="R31" s="11"/>
      <c r="S31" s="11"/>
      <c r="T31" s="11"/>
      <c r="U31" s="11"/>
      <c r="V31" s="11"/>
      <c r="W31" s="11"/>
    </row>
    <row r="32" spans="2:23" s="2" customFormat="1" ht="30" customHeight="1" x14ac:dyDescent="0.15">
      <c r="B32" s="783" t="str">
        <f>IF('SV Findings'!G11="Not Met",'SV Findings'!C11,"")</f>
        <v/>
      </c>
      <c r="C32" s="858"/>
      <c r="D32" s="785" t="str">
        <f>IF('SV Findings'!G11="Not Met", 'SV Findings'!J11,"")</f>
        <v/>
      </c>
      <c r="E32" s="786"/>
      <c r="F32" s="787"/>
      <c r="G32" s="293"/>
      <c r="H32" s="867"/>
      <c r="I32" s="868"/>
      <c r="J32" s="868"/>
      <c r="K32" s="868"/>
      <c r="R32" s="49"/>
      <c r="S32" s="49"/>
      <c r="T32" s="49"/>
      <c r="U32" s="49"/>
      <c r="V32" s="49"/>
      <c r="W32" s="49"/>
    </row>
    <row r="33" spans="2:23" s="2" customFormat="1" ht="30" customHeight="1" x14ac:dyDescent="0.15">
      <c r="B33" s="783" t="str">
        <f>IF('SV Findings'!G13="Not Met",'SV Findings'!Q13,"")</f>
        <v/>
      </c>
      <c r="C33" s="858"/>
      <c r="D33" s="785" t="str">
        <f>IF('SV Findings'!G13="Not Met", 'SV Findings'!J13,"")</f>
        <v/>
      </c>
      <c r="E33" s="786"/>
      <c r="F33" s="787"/>
      <c r="G33" s="293"/>
      <c r="R33" s="49"/>
      <c r="S33" s="49"/>
      <c r="T33" s="49"/>
      <c r="U33" s="49"/>
      <c r="V33" s="49"/>
      <c r="W33" s="49"/>
    </row>
    <row r="34" spans="2:23" s="2" customFormat="1" ht="30" customHeight="1" x14ac:dyDescent="0.15">
      <c r="B34" s="783" t="str">
        <f>IF('SV Findings'!G15="Not Met",'SV Findings'!Q15,"")</f>
        <v/>
      </c>
      <c r="C34" s="784"/>
      <c r="D34" s="785" t="str">
        <f>IF('SV Findings'!G15="Not Met", 'SV Findings'!J15,"")</f>
        <v/>
      </c>
      <c r="E34" s="786"/>
      <c r="F34" s="787"/>
      <c r="G34" s="293"/>
      <c r="R34" s="49"/>
      <c r="S34" s="49"/>
      <c r="T34" s="49"/>
      <c r="U34" s="49"/>
      <c r="V34" s="49"/>
      <c r="W34" s="49"/>
    </row>
    <row r="35" spans="2:23" s="2" customFormat="1" ht="30" customHeight="1" x14ac:dyDescent="0.15">
      <c r="B35" s="783" t="str">
        <f>IF('SV Findings'!G17="Not Met", 'SV Findings'!Q17,"")</f>
        <v/>
      </c>
      <c r="C35" s="784"/>
      <c r="D35" s="785" t="str">
        <f>IF('SV Findings'!G17="Not Met", 'SV Findings'!J17,"")</f>
        <v/>
      </c>
      <c r="E35" s="786"/>
      <c r="F35" s="787"/>
      <c r="G35" s="293"/>
      <c r="R35" s="49"/>
      <c r="S35" s="49"/>
      <c r="T35" s="49"/>
      <c r="U35" s="49"/>
      <c r="V35" s="49"/>
      <c r="W35" s="49"/>
    </row>
    <row r="36" spans="2:23" s="2" customFormat="1" ht="30" customHeight="1" x14ac:dyDescent="0.15">
      <c r="B36" s="783" t="str">
        <f>IF('SV Findings'!G18="Not Met", 'SV Findings'!Q18,"")</f>
        <v/>
      </c>
      <c r="C36" s="784"/>
      <c r="D36" s="785" t="str">
        <f>IF('SV Findings'!G18="Not Met", 'SV Findings'!J18,"")</f>
        <v/>
      </c>
      <c r="E36" s="786"/>
      <c r="F36" s="787"/>
      <c r="G36" s="293"/>
      <c r="R36" s="49"/>
      <c r="S36" s="49"/>
      <c r="T36" s="49"/>
      <c r="U36" s="49"/>
      <c r="V36" s="49"/>
      <c r="W36" s="49"/>
    </row>
    <row r="37" spans="2:23" s="2" customFormat="1" ht="30" customHeight="1" x14ac:dyDescent="0.15">
      <c r="B37" s="783" t="str">
        <f>IF('SV Findings'!G19="Not Met", 'SV Findings'!Q19,"")</f>
        <v/>
      </c>
      <c r="C37" s="784"/>
      <c r="D37" s="785" t="str">
        <f>IF('SV Findings'!G19="Not Met", 'SV Findings'!J19,"")</f>
        <v/>
      </c>
      <c r="E37" s="786"/>
      <c r="F37" s="787"/>
      <c r="G37" s="293"/>
      <c r="R37" s="49"/>
      <c r="S37" s="49"/>
      <c r="T37" s="49"/>
      <c r="U37" s="49"/>
      <c r="V37" s="49"/>
      <c r="W37" s="49"/>
    </row>
    <row r="38" spans="2:23" s="2" customFormat="1" ht="30" customHeight="1" x14ac:dyDescent="0.15">
      <c r="B38" s="783" t="str">
        <f>IF('SV Findings'!G23="Not Met", 'SV Findings'!Q23,"")</f>
        <v/>
      </c>
      <c r="C38" s="784"/>
      <c r="D38" s="785" t="str">
        <f>IF('SV Findings'!G23="Not Met", 'SV Findings'!J23,"")</f>
        <v/>
      </c>
      <c r="E38" s="786"/>
      <c r="F38" s="787"/>
      <c r="G38" s="293"/>
      <c r="Q38" s="49"/>
      <c r="R38" s="49"/>
      <c r="S38" s="49"/>
      <c r="T38" s="49"/>
      <c r="U38" s="49"/>
      <c r="V38" s="49"/>
      <c r="W38" s="49"/>
    </row>
    <row r="39" spans="2:23" s="2" customFormat="1" ht="30" customHeight="1" x14ac:dyDescent="0.15">
      <c r="B39" s="783" t="str">
        <f>IF('SV Findings'!G24="Not Met", 'SV Findings'!Q24,"")</f>
        <v/>
      </c>
      <c r="C39" s="858"/>
      <c r="D39" s="785" t="str">
        <f>IF('SV Findings'!G24="Not Met", 'SV Findings'!J24,"")</f>
        <v/>
      </c>
      <c r="E39" s="786"/>
      <c r="F39" s="787"/>
      <c r="G39" s="293"/>
      <c r="R39" s="49"/>
      <c r="S39" s="49"/>
      <c r="T39" s="49"/>
      <c r="U39" s="49"/>
      <c r="V39" s="49"/>
      <c r="W39" s="49"/>
    </row>
    <row r="40" spans="2:23" s="2" customFormat="1" ht="30" customHeight="1" x14ac:dyDescent="0.15">
      <c r="B40" s="783" t="str">
        <f>IF('SV Findings'!G32="Not Met", 'SV Findings'!Q32,"")</f>
        <v/>
      </c>
      <c r="C40" s="784"/>
      <c r="D40" s="785" t="str">
        <f>IF('SV Findings'!G32="Not Met", 'SV Findings'!J32,"")</f>
        <v/>
      </c>
      <c r="E40" s="786"/>
      <c r="F40" s="787"/>
      <c r="G40" s="293"/>
      <c r="R40" s="49"/>
      <c r="S40" s="49"/>
      <c r="T40" s="49"/>
      <c r="U40" s="49"/>
      <c r="V40" s="49"/>
      <c r="W40" s="49"/>
    </row>
    <row r="41" spans="2:23" s="2" customFormat="1" ht="30" customHeight="1" x14ac:dyDescent="0.15">
      <c r="B41" s="783" t="str">
        <f>IF('SV Findings'!G33="Not Met", 'SV Findings'!Q33,"")</f>
        <v/>
      </c>
      <c r="C41" s="784"/>
      <c r="D41" s="785" t="str">
        <f>IF('SV Findings'!G33="Not Met", 'SV Findings'!J33,"")</f>
        <v/>
      </c>
      <c r="E41" s="786"/>
      <c r="F41" s="787"/>
      <c r="G41" s="293"/>
      <c r="Q41" s="49"/>
      <c r="R41" s="49"/>
      <c r="S41" s="49"/>
      <c r="T41" s="49"/>
      <c r="U41" s="49"/>
      <c r="V41" s="49"/>
      <c r="W41" s="49"/>
    </row>
    <row r="42" spans="2:23" s="2" customFormat="1" ht="30" customHeight="1" x14ac:dyDescent="0.15">
      <c r="B42" s="783" t="str">
        <f>IF('SV Findings'!G35="Not Met", 'SV Findings'!Q35,"")</f>
        <v/>
      </c>
      <c r="C42" s="784"/>
      <c r="D42" s="785" t="str">
        <f>IF('SV Findings'!G35="Not Met", 'SV Findings'!J35,"")</f>
        <v/>
      </c>
      <c r="E42" s="786"/>
      <c r="F42" s="787"/>
      <c r="G42" s="293"/>
      <c r="Q42" s="49"/>
      <c r="R42" s="49"/>
      <c r="S42" s="49"/>
      <c r="T42" s="49"/>
      <c r="U42" s="49"/>
      <c r="V42" s="49"/>
      <c r="W42" s="49"/>
    </row>
    <row r="43" spans="2:23" s="2" customFormat="1" ht="30" customHeight="1" x14ac:dyDescent="0.15">
      <c r="B43" s="783" t="str">
        <f>IF('SV Findings'!G40="Not Met", 'SV Findings'!Q40,"")</f>
        <v/>
      </c>
      <c r="C43" s="784"/>
      <c r="D43" s="785" t="str">
        <f>IF('SV Findings'!G40="Not Met", 'SV Findings'!J40,"")</f>
        <v/>
      </c>
      <c r="E43" s="786"/>
      <c r="F43" s="787"/>
      <c r="G43" s="293"/>
      <c r="H43" s="856"/>
      <c r="I43" s="857"/>
      <c r="J43" s="857"/>
      <c r="K43" s="857"/>
      <c r="Q43" s="49"/>
      <c r="R43" s="49"/>
      <c r="S43" s="49"/>
      <c r="T43" s="49"/>
      <c r="U43" s="49"/>
      <c r="V43" s="49"/>
      <c r="W43" s="49"/>
    </row>
    <row r="44" spans="2:23" s="2" customFormat="1" ht="30" customHeight="1" x14ac:dyDescent="0.15">
      <c r="B44" s="783" t="str">
        <f>IF('SV Findings'!G42="Not Met", 'SV Findings'!Q43,"")</f>
        <v/>
      </c>
      <c r="C44" s="784"/>
      <c r="D44" s="785" t="str">
        <f>IF('SV Findings'!G42="Not Met", 'SV Findings'!J42,"")</f>
        <v/>
      </c>
      <c r="E44" s="786"/>
      <c r="F44" s="787"/>
      <c r="G44" s="293"/>
      <c r="H44" s="856"/>
      <c r="I44" s="857"/>
      <c r="J44" s="857"/>
      <c r="K44" s="857"/>
      <c r="Q44" s="49"/>
      <c r="R44" s="49"/>
      <c r="S44" s="49"/>
      <c r="T44" s="49"/>
      <c r="U44" s="49"/>
      <c r="V44" s="49"/>
      <c r="W44" s="49"/>
    </row>
    <row r="45" spans="2:23" s="2" customFormat="1" ht="30" customHeight="1" x14ac:dyDescent="0.15">
      <c r="B45" s="783" t="str">
        <f>IF('SV Findings'!G44="Not Met", 'SV Findings'!Q44,"")</f>
        <v/>
      </c>
      <c r="C45" s="784"/>
      <c r="D45" s="785" t="str">
        <f>IF('SV Findings'!G44="Not Met", 'SV Findings'!J44,"")</f>
        <v/>
      </c>
      <c r="E45" s="786"/>
      <c r="F45" s="787"/>
      <c r="G45" s="293"/>
      <c r="H45" s="856"/>
      <c r="I45" s="857"/>
      <c r="J45" s="857"/>
      <c r="K45" s="857"/>
      <c r="Q45" s="49"/>
      <c r="R45" s="49"/>
      <c r="S45" s="49"/>
      <c r="T45" s="49"/>
      <c r="U45" s="49"/>
      <c r="V45" s="49"/>
      <c r="W45" s="49"/>
    </row>
    <row r="46" spans="2:23" s="2" customFormat="1" ht="30" customHeight="1" x14ac:dyDescent="0.15">
      <c r="B46" s="783" t="str">
        <f>IF('SV Findings'!G46="Not Met", 'SV Findings'!Q47,"")</f>
        <v/>
      </c>
      <c r="C46" s="784"/>
      <c r="D46" s="785" t="str">
        <f>IF('SV Findings'!G46="Not Met", 'SV Findings'!J46,"")</f>
        <v/>
      </c>
      <c r="E46" s="786"/>
      <c r="F46" s="787"/>
      <c r="G46" s="293"/>
      <c r="H46" s="856"/>
      <c r="I46" s="857"/>
      <c r="J46" s="857"/>
      <c r="K46" s="857"/>
      <c r="Q46" s="49"/>
      <c r="R46" s="49"/>
      <c r="S46" s="49"/>
      <c r="T46" s="49"/>
      <c r="U46" s="49"/>
      <c r="V46" s="49"/>
      <c r="W46" s="49"/>
    </row>
    <row r="47" spans="2:23" s="2" customFormat="1" ht="30" customHeight="1" x14ac:dyDescent="0.15">
      <c r="B47" s="783" t="str">
        <f>IF('SV Findings'!G48="Not Met", 'SV Findings'!Q49,"")</f>
        <v/>
      </c>
      <c r="C47" s="784"/>
      <c r="D47" s="785" t="str">
        <f>IF('SV Findings'!G48="Not Met", 'SV Findings'!J48,"")</f>
        <v/>
      </c>
      <c r="E47" s="786"/>
      <c r="F47" s="787"/>
      <c r="G47" s="293"/>
      <c r="H47" s="856"/>
      <c r="I47" s="857"/>
      <c r="J47" s="857"/>
      <c r="K47" s="857"/>
      <c r="Q47" s="49"/>
      <c r="R47" s="49"/>
      <c r="S47" s="49"/>
      <c r="T47" s="49"/>
      <c r="U47" s="49"/>
      <c r="V47" s="49"/>
      <c r="W47" s="49"/>
    </row>
    <row r="48" spans="2:23" s="2" customFormat="1" ht="30" customHeight="1" x14ac:dyDescent="0.15">
      <c r="B48" s="783" t="str">
        <f>IF('SV Findings'!G50="Not Met", 'SV Findings'!Q50,"")</f>
        <v/>
      </c>
      <c r="C48" s="784"/>
      <c r="D48" s="785" t="str">
        <f>IF('SV Findings'!G50="Not Met", 'SV Findings'!J50,"")</f>
        <v/>
      </c>
      <c r="E48" s="786"/>
      <c r="F48" s="787"/>
      <c r="G48" s="293"/>
      <c r="H48" s="856"/>
      <c r="I48" s="857"/>
      <c r="J48" s="857"/>
      <c r="K48" s="857"/>
      <c r="Q48" s="49"/>
      <c r="R48" s="49"/>
      <c r="S48" s="49"/>
      <c r="T48" s="49"/>
      <c r="U48" s="49"/>
      <c r="V48" s="49"/>
      <c r="W48" s="49"/>
    </row>
    <row r="49" spans="2:23" s="2" customFormat="1" ht="30" customHeight="1" x14ac:dyDescent="0.15">
      <c r="B49" s="783" t="str">
        <f>IF('SV Findings'!G52="Not Met", 'SV Findings'!Q52,"")</f>
        <v/>
      </c>
      <c r="C49" s="784"/>
      <c r="D49" s="785" t="str">
        <f>IF('SV Findings'!G52="Not Met", 'SV Findings'!J52,"")</f>
        <v/>
      </c>
      <c r="E49" s="786"/>
      <c r="F49" s="787"/>
      <c r="G49" s="293"/>
      <c r="H49" s="856"/>
      <c r="I49" s="857"/>
      <c r="J49" s="857"/>
      <c r="K49" s="857"/>
      <c r="Q49" s="49"/>
      <c r="R49" s="49"/>
      <c r="S49" s="49"/>
      <c r="T49" s="49"/>
      <c r="U49" s="49"/>
      <c r="V49" s="49"/>
      <c r="W49" s="49"/>
    </row>
    <row r="50" spans="2:23" s="2" customFormat="1" ht="42" customHeight="1" x14ac:dyDescent="0.15">
      <c r="B50" s="783" t="str">
        <f>IF('SV Findings'!G54="Not Met", 'SV Findings'!Q54,"")</f>
        <v/>
      </c>
      <c r="C50" s="784"/>
      <c r="D50" s="785" t="str">
        <f>IF('SV Findings'!G54="Not Met", 'SV Findings'!J54,"")</f>
        <v/>
      </c>
      <c r="E50" s="786"/>
      <c r="F50" s="787"/>
      <c r="G50" s="293"/>
      <c r="H50" s="856"/>
      <c r="I50" s="857"/>
      <c r="J50" s="857"/>
      <c r="K50" s="857"/>
      <c r="Q50" s="49"/>
      <c r="R50" s="49"/>
      <c r="S50" s="49"/>
      <c r="T50" s="49"/>
      <c r="U50" s="49"/>
      <c r="V50" s="49"/>
      <c r="W50" s="49"/>
    </row>
    <row r="51" spans="2:23" s="2" customFormat="1" ht="42" customHeight="1" x14ac:dyDescent="0.15">
      <c r="B51" s="783" t="str">
        <f>IF('SV Findings'!G55="Not Met", 'SV Findings'!Q55,"")</f>
        <v/>
      </c>
      <c r="C51" s="784"/>
      <c r="D51" s="785" t="str">
        <f>IF('SV Findings'!G55="Not Met", 'SV Findings'!J55,"")</f>
        <v/>
      </c>
      <c r="E51" s="786"/>
      <c r="F51" s="787"/>
      <c r="G51" s="293"/>
      <c r="H51" s="856"/>
      <c r="I51" s="857"/>
      <c r="J51" s="857"/>
      <c r="K51" s="857"/>
      <c r="Q51" s="49"/>
      <c r="R51" s="49"/>
      <c r="S51" s="49"/>
      <c r="T51" s="49"/>
      <c r="U51" s="49"/>
      <c r="V51" s="49"/>
      <c r="W51" s="49"/>
    </row>
    <row r="52" spans="2:23" s="2" customFormat="1" ht="42" customHeight="1" x14ac:dyDescent="0.15">
      <c r="B52" s="783" t="str">
        <f>IF('SV Findings'!G56="Not Met", 'SV Findings'!Q56,"")</f>
        <v/>
      </c>
      <c r="C52" s="784"/>
      <c r="D52" s="785" t="str">
        <f>IF('SV Findings'!G56="Not Met", 'SV Findings'!J56,"")</f>
        <v/>
      </c>
      <c r="E52" s="786"/>
      <c r="F52" s="787"/>
      <c r="G52" s="293"/>
      <c r="H52" s="856"/>
      <c r="I52" s="857"/>
      <c r="J52" s="857"/>
      <c r="K52" s="857"/>
      <c r="Q52" s="49"/>
      <c r="R52" s="49"/>
      <c r="S52" s="49"/>
      <c r="T52" s="49"/>
      <c r="U52" s="49"/>
      <c r="V52" s="49"/>
      <c r="W52" s="49"/>
    </row>
    <row r="53" spans="2:23" s="2" customFormat="1" ht="30" customHeight="1" x14ac:dyDescent="0.15">
      <c r="B53" s="783" t="str">
        <f>IF('SV Findings'!G57="Not Met", 'SV Findings'!Q57,"")</f>
        <v/>
      </c>
      <c r="C53" s="784"/>
      <c r="D53" s="785" t="str">
        <f>IF('SV Findings'!G57="Not Met", 'SV Findings'!J57,"")</f>
        <v/>
      </c>
      <c r="E53" s="786"/>
      <c r="F53" s="787"/>
      <c r="G53" s="293"/>
      <c r="H53" s="856"/>
      <c r="I53" s="857"/>
      <c r="J53" s="857"/>
      <c r="K53" s="857"/>
      <c r="Q53" s="49"/>
      <c r="R53" s="49"/>
      <c r="S53" s="49"/>
      <c r="T53" s="49"/>
      <c r="U53" s="49"/>
      <c r="V53" s="49"/>
      <c r="W53" s="49"/>
    </row>
    <row r="54" spans="2:23" s="2" customFormat="1" ht="30" customHeight="1" x14ac:dyDescent="0.15">
      <c r="B54" s="783" t="str">
        <f>IF('SV Findings'!G59="Not Met", 'SV Findings'!Q59,"")</f>
        <v/>
      </c>
      <c r="C54" s="784"/>
      <c r="D54" s="785" t="str">
        <f>IF('SV Findings'!G59="Not Met", 'SV Findings'!J59,"")</f>
        <v/>
      </c>
      <c r="E54" s="786"/>
      <c r="F54" s="787"/>
      <c r="G54" s="293"/>
      <c r="H54" s="856"/>
      <c r="I54" s="857"/>
      <c r="J54" s="857"/>
      <c r="K54" s="857"/>
      <c r="Q54" s="49"/>
      <c r="R54" s="49"/>
      <c r="S54" s="49"/>
      <c r="T54" s="49"/>
      <c r="U54" s="49"/>
      <c r="V54" s="49"/>
      <c r="W54" s="49"/>
    </row>
    <row r="55" spans="2:23" s="2" customFormat="1" ht="30" customHeight="1" x14ac:dyDescent="0.15">
      <c r="B55" s="783" t="str">
        <f>IF('SV Findings'!G61="Not Met", 'SV Findings'!Q62,"")</f>
        <v/>
      </c>
      <c r="C55" s="784"/>
      <c r="D55" s="785" t="str">
        <f>IF('SV Findings'!G61="Not Met", 'SV Findings'!J61,"")</f>
        <v/>
      </c>
      <c r="E55" s="786"/>
      <c r="F55" s="787"/>
      <c r="G55" s="293"/>
      <c r="H55" s="856"/>
      <c r="I55" s="857"/>
      <c r="J55" s="857"/>
      <c r="K55" s="857"/>
      <c r="Q55" s="49"/>
      <c r="R55" s="49"/>
      <c r="S55" s="49"/>
      <c r="T55" s="49"/>
      <c r="U55" s="49"/>
      <c r="V55" s="49"/>
      <c r="W55" s="49"/>
    </row>
    <row r="56" spans="2:23" s="2" customFormat="1" ht="30" customHeight="1" x14ac:dyDescent="0.15">
      <c r="B56" s="783" t="str">
        <f>IF('SV Findings'!G63="Not Met", 'SV Findings'!Q63,"")</f>
        <v/>
      </c>
      <c r="C56" s="784"/>
      <c r="D56" s="785" t="str">
        <f>IF('SV Findings'!G63="Not Met", 'SV Findings'!J63,"")</f>
        <v/>
      </c>
      <c r="E56" s="786"/>
      <c r="F56" s="787"/>
      <c r="G56" s="293"/>
      <c r="H56" s="856"/>
      <c r="I56" s="857"/>
      <c r="J56" s="857"/>
      <c r="K56" s="857"/>
      <c r="Q56" s="49"/>
      <c r="R56" s="49"/>
      <c r="S56" s="49"/>
      <c r="T56" s="49"/>
      <c r="U56" s="49"/>
      <c r="V56" s="49"/>
      <c r="W56" s="49"/>
    </row>
    <row r="57" spans="2:23" s="2" customFormat="1" ht="42" customHeight="1" x14ac:dyDescent="0.15">
      <c r="B57" s="783" t="str">
        <f>IF('SV Findings'!G65="Not Met", 'SV Findings'!Q65,"")</f>
        <v/>
      </c>
      <c r="C57" s="784"/>
      <c r="D57" s="785" t="str">
        <f>IF('SV Findings'!G65="Not Met", 'SV Findings'!J65,"")</f>
        <v/>
      </c>
      <c r="E57" s="786"/>
      <c r="F57" s="787"/>
      <c r="G57" s="293"/>
      <c r="H57" s="856"/>
      <c r="I57" s="857"/>
      <c r="J57" s="857"/>
      <c r="K57" s="857"/>
      <c r="Q57" s="49"/>
      <c r="R57" s="49"/>
      <c r="S57" s="49"/>
      <c r="T57" s="49"/>
      <c r="U57" s="49"/>
      <c r="V57" s="49"/>
      <c r="W57" s="49"/>
    </row>
    <row r="58" spans="2:23" s="2" customFormat="1" ht="42" customHeight="1" x14ac:dyDescent="0.15">
      <c r="B58" s="783" t="str">
        <f>IF('SV Findings'!G66="Not Met", 'SV Findings'!Q66,"")</f>
        <v/>
      </c>
      <c r="C58" s="784"/>
      <c r="D58" s="785" t="str">
        <f>IF('SV Findings'!G66="Not Met", 'SV Findings'!J66,"")</f>
        <v/>
      </c>
      <c r="E58" s="786"/>
      <c r="F58" s="787"/>
      <c r="G58" s="293"/>
      <c r="H58" s="856"/>
      <c r="I58" s="857"/>
      <c r="J58" s="857"/>
      <c r="K58" s="857"/>
      <c r="Q58" s="49"/>
      <c r="R58" s="49"/>
      <c r="S58" s="49"/>
      <c r="T58" s="49"/>
      <c r="U58" s="49"/>
      <c r="V58" s="49"/>
      <c r="W58" s="49"/>
    </row>
    <row r="59" spans="2:23" s="2" customFormat="1" ht="42" customHeight="1" x14ac:dyDescent="0.15">
      <c r="B59" s="783" t="str">
        <f>IF('SV Findings'!G67="Not Met", 'SV Findings'!Q67,"")</f>
        <v/>
      </c>
      <c r="C59" s="784"/>
      <c r="D59" s="785" t="str">
        <f>IF('SV Findings'!G67="Not Met", 'SV Findings'!J67,"")</f>
        <v/>
      </c>
      <c r="E59" s="786"/>
      <c r="F59" s="787"/>
      <c r="G59" s="293"/>
      <c r="H59" s="856"/>
      <c r="I59" s="857"/>
      <c r="J59" s="857"/>
      <c r="K59" s="857"/>
      <c r="Q59" s="49"/>
      <c r="R59" s="49"/>
      <c r="S59" s="49"/>
      <c r="T59" s="49"/>
      <c r="U59" s="49"/>
      <c r="V59" s="49"/>
      <c r="W59" s="49"/>
    </row>
    <row r="60" spans="2:23" s="2" customFormat="1" ht="30" customHeight="1" x14ac:dyDescent="0.15">
      <c r="B60" s="783" t="str">
        <f>IF('SV Findings'!G68="Not Met", 'SV Findings'!Q68,"")</f>
        <v/>
      </c>
      <c r="C60" s="784"/>
      <c r="D60" s="785" t="str">
        <f>IF('SV Findings'!G68="Not Met", 'SV Findings'!J68,"")</f>
        <v/>
      </c>
      <c r="E60" s="786"/>
      <c r="F60" s="787"/>
      <c r="G60" s="293"/>
      <c r="H60" s="856"/>
      <c r="I60" s="857"/>
      <c r="J60" s="857"/>
      <c r="K60" s="857"/>
      <c r="Q60" s="49"/>
      <c r="R60" s="49"/>
      <c r="S60" s="49"/>
      <c r="T60" s="49"/>
      <c r="U60" s="49"/>
      <c r="V60" s="49"/>
      <c r="W60" s="49"/>
    </row>
    <row r="61" spans="2:23" s="2" customFormat="1" ht="30" customHeight="1" x14ac:dyDescent="0.15">
      <c r="B61" s="783" t="str">
        <f>IF('SV Findings'!G69="Not Met", 'SV Findings'!Q69,"")</f>
        <v/>
      </c>
      <c r="C61" s="784"/>
      <c r="D61" s="785" t="str">
        <f>IF('SV Findings'!G69="Not Met", 'SV Findings'!J69,"")</f>
        <v/>
      </c>
      <c r="E61" s="786"/>
      <c r="F61" s="787"/>
      <c r="G61" s="293"/>
      <c r="H61" s="856"/>
      <c r="I61" s="857"/>
      <c r="J61" s="857"/>
      <c r="K61" s="857"/>
      <c r="Q61" s="49"/>
      <c r="R61" s="49"/>
      <c r="S61" s="49"/>
      <c r="T61" s="49"/>
      <c r="U61" s="49"/>
      <c r="V61" s="49"/>
      <c r="W61" s="49"/>
    </row>
    <row r="62" spans="2:23" s="2" customFormat="1" ht="30" customHeight="1" x14ac:dyDescent="0.15">
      <c r="B62" s="783" t="str">
        <f>IF('SV Findings'!G71="Not Met", 'SV Findings'!Q72,"")</f>
        <v/>
      </c>
      <c r="C62" s="784"/>
      <c r="D62" s="785" t="str">
        <f>IF('SV Findings'!G71="Not Met", 'SV Findings'!J71,"")</f>
        <v/>
      </c>
      <c r="E62" s="786"/>
      <c r="F62" s="787"/>
      <c r="G62" s="293"/>
      <c r="R62" s="49"/>
      <c r="S62" s="49"/>
      <c r="T62" s="49"/>
      <c r="U62" s="49"/>
      <c r="V62" s="49"/>
      <c r="W62" s="49"/>
    </row>
    <row r="63" spans="2:23" s="2" customFormat="1" ht="30" customHeight="1" x14ac:dyDescent="0.15">
      <c r="B63" s="783" t="str">
        <f>IF('SV Findings'!G73="Not Met", 'SV Findings'!Q74,"")</f>
        <v/>
      </c>
      <c r="C63" s="784"/>
      <c r="D63" s="785" t="str">
        <f>IF('SV Findings'!G73="Not Met", 'SV Findings'!J73,"")</f>
        <v/>
      </c>
      <c r="E63" s="786"/>
      <c r="F63" s="787"/>
      <c r="G63" s="293"/>
      <c r="R63" s="49"/>
      <c r="S63" s="49"/>
      <c r="T63" s="49"/>
      <c r="U63" s="49"/>
      <c r="V63" s="49"/>
      <c r="W63" s="49"/>
    </row>
    <row r="64" spans="2:23" s="2" customFormat="1" ht="30" customHeight="1" x14ac:dyDescent="0.15">
      <c r="B64" s="783" t="str">
        <f>IF('SV Findings'!G77="Not Met", 'SV Findings'!Q78,"")</f>
        <v/>
      </c>
      <c r="C64" s="784"/>
      <c r="D64" s="785" t="str">
        <f>IF('SV Findings'!G77="Not Met", 'SV Findings'!J77,"")</f>
        <v/>
      </c>
      <c r="E64" s="786"/>
      <c r="F64" s="787"/>
      <c r="G64" s="293"/>
      <c r="R64" s="49"/>
      <c r="S64" s="49"/>
      <c r="T64" s="49"/>
      <c r="U64" s="49"/>
      <c r="V64" s="49"/>
      <c r="W64" s="49"/>
    </row>
    <row r="65" spans="2:23" s="2" customFormat="1" ht="30" customHeight="1" x14ac:dyDescent="0.15">
      <c r="B65" s="783" t="str">
        <f>IF('SV Findings'!G82="Not Met", 'SV Findings'!Q83,"")</f>
        <v/>
      </c>
      <c r="C65" s="784"/>
      <c r="D65" s="785" t="str">
        <f>IF('SV Findings'!G82="Not Met", 'SV Findings'!J82,"")</f>
        <v/>
      </c>
      <c r="E65" s="786"/>
      <c r="F65" s="787"/>
      <c r="G65" s="293"/>
      <c r="R65" s="49"/>
      <c r="S65" s="49"/>
      <c r="T65" s="49"/>
      <c r="U65" s="49"/>
      <c r="V65" s="49"/>
      <c r="W65" s="49"/>
    </row>
    <row r="66" spans="2:23" s="2" customFormat="1" ht="42" customHeight="1" x14ac:dyDescent="0.15">
      <c r="B66" s="783" t="str">
        <f>IF('SV Findings'!G84="Not Met", 'SV Findings'!Q84,"")</f>
        <v/>
      </c>
      <c r="C66" s="784"/>
      <c r="D66" s="785" t="str">
        <f>IF('SV Findings'!G84="Not Met", 'SV Findings'!J84,"")</f>
        <v/>
      </c>
      <c r="E66" s="786"/>
      <c r="F66" s="787"/>
      <c r="G66" s="293"/>
      <c r="R66" s="49"/>
      <c r="S66" s="49"/>
      <c r="T66" s="49"/>
      <c r="U66" s="49"/>
      <c r="V66" s="49"/>
      <c r="W66" s="49"/>
    </row>
    <row r="67" spans="2:23" s="2" customFormat="1" ht="42" customHeight="1" x14ac:dyDescent="0.15">
      <c r="B67" s="783" t="str">
        <f>IF('SV Findings'!G85="Not Met", 'SV Findings'!Q85,"")</f>
        <v/>
      </c>
      <c r="C67" s="784"/>
      <c r="D67" s="785" t="str">
        <f>IF('SV Findings'!G85="Not Met", 'SV Findings'!J85,"")</f>
        <v/>
      </c>
      <c r="E67" s="786"/>
      <c r="F67" s="787"/>
      <c r="G67" s="293"/>
      <c r="R67" s="49"/>
      <c r="S67" s="49"/>
      <c r="T67" s="49"/>
      <c r="U67" s="49"/>
      <c r="V67" s="49"/>
      <c r="W67" s="49"/>
    </row>
    <row r="68" spans="2:23" s="2" customFormat="1" ht="42" customHeight="1" x14ac:dyDescent="0.15">
      <c r="B68" s="783" t="str">
        <f>IF('SV Findings'!G86="Not Met", 'SV Findings'!Q86,"")</f>
        <v/>
      </c>
      <c r="C68" s="784"/>
      <c r="D68" s="785" t="str">
        <f>IF('SV Findings'!G86="Not Met", 'SV Findings'!J86,"")</f>
        <v/>
      </c>
      <c r="E68" s="786"/>
      <c r="F68" s="787"/>
      <c r="G68" s="293"/>
      <c r="R68" s="49"/>
      <c r="S68" s="49"/>
      <c r="T68" s="49"/>
      <c r="U68" s="49"/>
      <c r="V68" s="49"/>
      <c r="W68" s="49"/>
    </row>
    <row r="69" spans="2:23" s="2" customFormat="1" ht="30" customHeight="1" x14ac:dyDescent="0.15">
      <c r="B69" s="783" t="str">
        <f>IF('SV Findings'!G88="Not Met", 'SV Findings'!Q89,"")</f>
        <v/>
      </c>
      <c r="C69" s="784"/>
      <c r="D69" s="785" t="str">
        <f>IF('SV Findings'!G88="Not Met", 'SV Findings'!J88,"")</f>
        <v/>
      </c>
      <c r="E69" s="786"/>
      <c r="F69" s="787"/>
      <c r="G69" s="293"/>
      <c r="Q69" s="49"/>
      <c r="R69" s="49"/>
      <c r="S69" s="49"/>
      <c r="T69" s="49"/>
      <c r="U69" s="49"/>
      <c r="V69" s="49"/>
      <c r="W69" s="49"/>
    </row>
    <row r="70" spans="2:23" s="2" customFormat="1" ht="30" customHeight="1" x14ac:dyDescent="0.15">
      <c r="B70" s="783" t="str">
        <f>IF('SV Findings'!G98="Not Met", 'SV Findings'!Q99,"")</f>
        <v/>
      </c>
      <c r="C70" s="784"/>
      <c r="D70" s="785" t="str">
        <f>IF('SV Findings'!G98="Not Met", 'SV Findings'!J98,"")</f>
        <v/>
      </c>
      <c r="E70" s="786"/>
      <c r="F70" s="787"/>
      <c r="G70" s="293"/>
      <c r="R70" s="49"/>
      <c r="S70" s="49"/>
      <c r="T70" s="49"/>
      <c r="U70" s="49"/>
      <c r="V70" s="49"/>
      <c r="W70" s="49"/>
    </row>
    <row r="71" spans="2:23" s="2" customFormat="1" ht="30" customHeight="1" x14ac:dyDescent="0.15">
      <c r="B71" s="783" t="str">
        <f>IF('SV Findings'!G102="Not Met", 'SV Findings'!Q103,"")</f>
        <v/>
      </c>
      <c r="C71" s="784"/>
      <c r="D71" s="785" t="str">
        <f>IF('SV Findings'!G102="Not Met", 'SV Findings'!J102,"")</f>
        <v/>
      </c>
      <c r="E71" s="786"/>
      <c r="F71" s="787"/>
      <c r="G71" s="293"/>
      <c r="R71" s="49"/>
      <c r="S71" s="49"/>
      <c r="T71" s="49"/>
      <c r="U71" s="49"/>
      <c r="V71" s="49"/>
      <c r="W71" s="49"/>
    </row>
    <row r="72" spans="2:23" s="2" customFormat="1" ht="30" customHeight="1" x14ac:dyDescent="0.15">
      <c r="B72" s="783" t="str">
        <f>IF('SV Findings'!G106="Not Met", 'SV Findings'!Q106,"")</f>
        <v/>
      </c>
      <c r="C72" s="784"/>
      <c r="D72" s="785" t="str">
        <f>IF('SV Findings'!G106="Not Met", 'SV Findings'!J106,"")</f>
        <v/>
      </c>
      <c r="E72" s="786"/>
      <c r="F72" s="787"/>
      <c r="G72" s="293"/>
      <c r="R72" s="49"/>
      <c r="S72" s="49"/>
      <c r="T72" s="49"/>
      <c r="U72" s="49"/>
      <c r="V72" s="49"/>
      <c r="W72" s="49"/>
    </row>
    <row r="73" spans="2:23" s="2" customFormat="1" ht="30" customHeight="1" x14ac:dyDescent="0.15">
      <c r="B73" s="783" t="str">
        <f>IF('SV Findings'!G107="Not Met", 'SV Findings'!Q107,"")</f>
        <v/>
      </c>
      <c r="C73" s="784"/>
      <c r="D73" s="785" t="str">
        <f>IF('SV Findings'!G107="Not Met", 'SV Findings'!J107,"")</f>
        <v/>
      </c>
      <c r="E73" s="786"/>
      <c r="F73" s="787"/>
      <c r="G73" s="293"/>
      <c r="R73" s="49"/>
      <c r="S73" s="49"/>
      <c r="T73" s="49"/>
      <c r="U73" s="49"/>
      <c r="V73" s="49"/>
      <c r="W73" s="49"/>
    </row>
    <row r="74" spans="2:23" s="2" customFormat="1" ht="42" customHeight="1" x14ac:dyDescent="0.15">
      <c r="B74" s="783" t="str">
        <f>IF('SV Findings'!G110="Not Met", 'SV Findings'!Q110,"")</f>
        <v/>
      </c>
      <c r="C74" s="784"/>
      <c r="D74" s="785" t="str">
        <f>IF('SV Findings'!G110="Not Met", 'SV Findings'!J110,"")</f>
        <v/>
      </c>
      <c r="E74" s="786"/>
      <c r="F74" s="787"/>
      <c r="G74" s="293"/>
      <c r="Q74" s="49"/>
      <c r="R74" s="49"/>
      <c r="S74" s="49"/>
      <c r="T74" s="49"/>
      <c r="U74" s="49"/>
      <c r="V74" s="49"/>
      <c r="W74" s="49"/>
    </row>
    <row r="75" spans="2:23" s="2" customFormat="1" ht="42" customHeight="1" x14ac:dyDescent="0.15">
      <c r="B75" s="783" t="str">
        <f>IF('SV Findings'!G111="Not Met", 'SV Findings'!Q111,"")</f>
        <v/>
      </c>
      <c r="C75" s="784"/>
      <c r="D75" s="785" t="str">
        <f>IF('SV Findings'!G111="Not Met", 'SV Findings'!J111,"")</f>
        <v/>
      </c>
      <c r="E75" s="786"/>
      <c r="F75" s="787"/>
      <c r="G75" s="293"/>
      <c r="Q75" s="49"/>
      <c r="R75" s="49"/>
      <c r="S75" s="49"/>
      <c r="T75" s="49"/>
      <c r="U75" s="49"/>
      <c r="V75" s="49"/>
      <c r="W75" s="49"/>
    </row>
    <row r="76" spans="2:23" s="2" customFormat="1" ht="42" customHeight="1" x14ac:dyDescent="0.15">
      <c r="B76" s="783" t="str">
        <f>IF('SV Findings'!G112="Not Met", 'SV Findings'!Q112,"")</f>
        <v/>
      </c>
      <c r="C76" s="784"/>
      <c r="D76" s="785" t="str">
        <f>IF('SV Findings'!G112="Not Met", 'SV Findings'!J112,"")</f>
        <v/>
      </c>
      <c r="E76" s="786"/>
      <c r="F76" s="787"/>
      <c r="G76" s="293"/>
      <c r="Q76" s="49"/>
      <c r="R76" s="49"/>
      <c r="S76" s="49"/>
      <c r="T76" s="49"/>
      <c r="U76" s="49"/>
      <c r="V76" s="49"/>
      <c r="W76" s="49"/>
    </row>
    <row r="77" spans="2:23" s="2" customFormat="1" ht="42" customHeight="1" x14ac:dyDescent="0.15">
      <c r="B77" s="783" t="str">
        <f>IF('SV Findings'!G113="Not Met", 'SV Findings'!Q113,"")</f>
        <v/>
      </c>
      <c r="C77" s="784"/>
      <c r="D77" s="785" t="str">
        <f>IF('SV Findings'!G113="Not Met", 'SV Findings'!J113,"")</f>
        <v/>
      </c>
      <c r="E77" s="786"/>
      <c r="F77" s="787"/>
      <c r="G77" s="293"/>
      <c r="Q77" s="49"/>
      <c r="R77" s="49"/>
      <c r="S77" s="49"/>
      <c r="T77" s="49"/>
      <c r="U77" s="49"/>
      <c r="V77" s="49"/>
      <c r="W77" s="49"/>
    </row>
    <row r="78" spans="2:23" s="2" customFormat="1" ht="42" customHeight="1" x14ac:dyDescent="0.15">
      <c r="B78" s="783" t="str">
        <f>IF('SV Findings'!G114="Not Met", 'SV Findings'!Q114,"")</f>
        <v/>
      </c>
      <c r="C78" s="784"/>
      <c r="D78" s="785" t="str">
        <f>IF('SV Findings'!G114="Not Met", 'SV Findings'!J114,"")</f>
        <v/>
      </c>
      <c r="E78" s="786"/>
      <c r="F78" s="787"/>
      <c r="G78" s="293"/>
      <c r="Q78" s="49"/>
      <c r="R78" s="49"/>
      <c r="S78" s="49"/>
      <c r="T78" s="49"/>
      <c r="U78" s="49"/>
      <c r="V78" s="49"/>
      <c r="W78" s="49"/>
    </row>
    <row r="79" spans="2:23" s="2" customFormat="1" ht="42" customHeight="1" x14ac:dyDescent="0.15">
      <c r="B79" s="783" t="str">
        <f>IF('SV Findings'!G115="Not Met", 'SV Findings'!Q115,"")</f>
        <v/>
      </c>
      <c r="C79" s="784"/>
      <c r="D79" s="785" t="str">
        <f>IF('SV Findings'!G115="Not Met", 'SV Findings'!J115,"")</f>
        <v/>
      </c>
      <c r="E79" s="786"/>
      <c r="F79" s="787"/>
      <c r="G79" s="293"/>
      <c r="Q79" s="49"/>
      <c r="R79" s="49"/>
      <c r="S79" s="49"/>
      <c r="T79" s="49"/>
      <c r="U79" s="49"/>
      <c r="V79" s="49"/>
      <c r="W79" s="49"/>
    </row>
    <row r="80" spans="2:23" s="2" customFormat="1" ht="30" customHeight="1" x14ac:dyDescent="0.15">
      <c r="B80" s="783" t="str">
        <f>IF('SV Findings'!G117="Not Met", 'SV Findings'!Q117,"")</f>
        <v/>
      </c>
      <c r="C80" s="784"/>
      <c r="D80" s="785" t="str">
        <f>IF('SV Findings'!G117="Not Met", 'SV Findings'!J117,"")</f>
        <v/>
      </c>
      <c r="E80" s="786"/>
      <c r="F80" s="787"/>
      <c r="G80" s="293"/>
      <c r="Q80" s="49"/>
      <c r="R80" s="49"/>
      <c r="S80" s="49"/>
      <c r="T80" s="49"/>
      <c r="U80" s="49"/>
      <c r="V80" s="49"/>
      <c r="W80" s="49"/>
    </row>
    <row r="81" spans="2:23" s="2" customFormat="1" ht="30" customHeight="1" x14ac:dyDescent="0.15">
      <c r="B81" s="783" t="str">
        <f>IF('SV Findings'!G118="Not Met", 'SV Findings'!Q118,"")</f>
        <v/>
      </c>
      <c r="C81" s="784"/>
      <c r="D81" s="785" t="str">
        <f>IF('SV Findings'!G118="Not Met", 'SV Findings'!J118,"")</f>
        <v/>
      </c>
      <c r="E81" s="786"/>
      <c r="F81" s="787"/>
      <c r="G81" s="293"/>
      <c r="Q81" s="49"/>
      <c r="R81" s="49"/>
      <c r="S81" s="49"/>
      <c r="T81" s="49"/>
      <c r="U81" s="49"/>
      <c r="V81" s="49"/>
      <c r="W81" s="49"/>
    </row>
    <row r="82" spans="2:23" s="2" customFormat="1" ht="30" customHeight="1" x14ac:dyDescent="0.15">
      <c r="B82" s="783" t="str">
        <f>IF('SV Findings'!G119="Not Met", 'SV Findings'!Q119,"")</f>
        <v/>
      </c>
      <c r="C82" s="784"/>
      <c r="D82" s="785" t="str">
        <f>IF('SV Findings'!G119="Not Met", 'SV Findings'!J119,"")</f>
        <v/>
      </c>
      <c r="E82" s="786"/>
      <c r="F82" s="787"/>
      <c r="G82" s="293"/>
      <c r="Q82" s="49"/>
      <c r="R82" s="49"/>
      <c r="S82" s="49"/>
      <c r="T82" s="49"/>
      <c r="U82" s="49"/>
      <c r="V82" s="49"/>
      <c r="W82" s="49"/>
    </row>
    <row r="83" spans="2:23" s="2" customFormat="1" ht="30" customHeight="1" x14ac:dyDescent="0.15">
      <c r="B83" s="783" t="str">
        <f>IF('SV Findings'!G120="Not Met", 'SV Findings'!Q120,"")</f>
        <v/>
      </c>
      <c r="C83" s="784"/>
      <c r="D83" s="785" t="str">
        <f>IF('SV Findings'!G120="Not Met", 'SV Findings'!J120,"")</f>
        <v/>
      </c>
      <c r="E83" s="786"/>
      <c r="F83" s="787"/>
      <c r="G83" s="293"/>
      <c r="Q83" s="49"/>
      <c r="R83" s="49"/>
      <c r="S83" s="49"/>
      <c r="T83" s="49"/>
      <c r="U83" s="49"/>
      <c r="V83" s="49"/>
      <c r="W83" s="49"/>
    </row>
    <row r="84" spans="2:23" s="2" customFormat="1" ht="30" customHeight="1" x14ac:dyDescent="0.15">
      <c r="B84" s="783" t="str">
        <f>IF('SV Findings'!G121="Not Met", 'SV Findings'!Q121,"")</f>
        <v/>
      </c>
      <c r="C84" s="784"/>
      <c r="D84" s="785" t="str">
        <f>IF('SV Findings'!G121="Not Met", 'SV Findings'!J121,"")</f>
        <v/>
      </c>
      <c r="E84" s="786"/>
      <c r="F84" s="787"/>
      <c r="G84" s="293"/>
      <c r="Q84" s="49"/>
      <c r="R84" s="49"/>
      <c r="S84" s="49"/>
      <c r="T84" s="49"/>
      <c r="U84" s="49"/>
      <c r="V84" s="49"/>
      <c r="W84" s="49"/>
    </row>
    <row r="85" spans="2:23" s="2" customFormat="1" ht="30" customHeight="1" x14ac:dyDescent="0.15">
      <c r="B85" s="783" t="str">
        <f>IF('SV Findings'!G124="Not Met", 'SV Findings'!Q124,"")</f>
        <v/>
      </c>
      <c r="C85" s="784"/>
      <c r="D85" s="785" t="str">
        <f>IF('SV Findings'!G124="Not Met", 'SV Findings'!J124,"")</f>
        <v/>
      </c>
      <c r="E85" s="786"/>
      <c r="F85" s="787"/>
      <c r="G85" s="293"/>
      <c r="Q85" s="49"/>
      <c r="R85" s="49"/>
      <c r="S85" s="49"/>
      <c r="T85" s="49"/>
      <c r="U85" s="49"/>
      <c r="V85" s="49"/>
      <c r="W85" s="49"/>
    </row>
    <row r="86" spans="2:23" s="2" customFormat="1" ht="30" customHeight="1" x14ac:dyDescent="0.15">
      <c r="B86" s="783" t="str">
        <f>IF('SV Findings'!G125="Not Met", 'SV Findings'!Q125,"")</f>
        <v/>
      </c>
      <c r="C86" s="784"/>
      <c r="D86" s="785" t="str">
        <f>IF('SV Findings'!G125="Not Met", 'SV Findings'!J125,"")</f>
        <v/>
      </c>
      <c r="E86" s="786"/>
      <c r="F86" s="787"/>
      <c r="G86" s="293"/>
      <c r="Q86" s="49"/>
      <c r="R86" s="49"/>
      <c r="S86" s="49"/>
      <c r="T86" s="49"/>
      <c r="U86" s="49"/>
      <c r="V86" s="49"/>
      <c r="W86" s="49"/>
    </row>
    <row r="87" spans="2:23" s="2" customFormat="1" ht="30" customHeight="1" x14ac:dyDescent="0.15">
      <c r="B87" s="783" t="str">
        <f>IF('SV Findings'!G126="Not Met", 'SV Findings'!Q126,"")</f>
        <v/>
      </c>
      <c r="C87" s="784"/>
      <c r="D87" s="785" t="str">
        <f>IF('SV Findings'!G126="Not Met", 'SV Findings'!J126,"")</f>
        <v/>
      </c>
      <c r="E87" s="786"/>
      <c r="F87" s="787"/>
      <c r="G87" s="293"/>
      <c r="Q87" s="49"/>
      <c r="R87" s="49"/>
      <c r="S87" s="49"/>
      <c r="T87" s="49"/>
      <c r="U87" s="49"/>
      <c r="V87" s="49"/>
      <c r="W87" s="49"/>
    </row>
    <row r="88" spans="2:23" s="2" customFormat="1" ht="30" customHeight="1" x14ac:dyDescent="0.15">
      <c r="B88" s="783" t="str">
        <f>IF('SV Findings'!G127="Not Met", 'SV Findings'!Q127,"")</f>
        <v/>
      </c>
      <c r="C88" s="784"/>
      <c r="D88" s="785" t="str">
        <f>IF('SV Findings'!G127="Not Met", 'SV Findings'!J127,"")</f>
        <v/>
      </c>
      <c r="E88" s="786"/>
      <c r="F88" s="787"/>
      <c r="G88" s="293"/>
      <c r="Q88" s="49"/>
      <c r="R88" s="49"/>
      <c r="S88" s="49"/>
      <c r="T88" s="49"/>
      <c r="U88" s="49"/>
      <c r="V88" s="49"/>
      <c r="W88" s="49"/>
    </row>
    <row r="89" spans="2:23" s="2" customFormat="1" ht="30" customHeight="1" x14ac:dyDescent="0.15">
      <c r="B89" s="783" t="str">
        <f>IF('SV Findings'!G128="Not Met", 'SV Findings'!Q128,"")</f>
        <v/>
      </c>
      <c r="C89" s="784"/>
      <c r="D89" s="785" t="str">
        <f>IF('SV Findings'!G128="Not Met", 'SV Findings'!J128,"")</f>
        <v/>
      </c>
      <c r="E89" s="786"/>
      <c r="F89" s="787"/>
      <c r="G89" s="293"/>
      <c r="Q89" s="49"/>
      <c r="R89" s="49"/>
      <c r="S89" s="49"/>
      <c r="T89" s="49"/>
      <c r="U89" s="49"/>
      <c r="V89" s="49"/>
      <c r="W89" s="49"/>
    </row>
    <row r="90" spans="2:23" s="2" customFormat="1" ht="30" customHeight="1" x14ac:dyDescent="0.15">
      <c r="B90" s="783" t="str">
        <f>IF('SV Findings'!G129="Not Met", 'SV Findings'!Q129,"")</f>
        <v/>
      </c>
      <c r="C90" s="784"/>
      <c r="D90" s="785" t="str">
        <f>IF('SV Findings'!G129="Not Met", 'SV Findings'!J129,"")</f>
        <v/>
      </c>
      <c r="E90" s="786"/>
      <c r="F90" s="787"/>
      <c r="G90" s="293"/>
      <c r="Q90" s="49"/>
      <c r="R90" s="49"/>
      <c r="S90" s="49"/>
      <c r="T90" s="49"/>
      <c r="U90" s="49"/>
      <c r="V90" s="49"/>
      <c r="W90" s="49"/>
    </row>
    <row r="91" spans="2:23" s="2" customFormat="1" ht="30" customHeight="1" x14ac:dyDescent="0.15">
      <c r="B91" s="783" t="str">
        <f>IF('SV Findings'!G130="Not Met", 'SV Findings'!Q130,"")</f>
        <v/>
      </c>
      <c r="C91" s="784"/>
      <c r="D91" s="785" t="str">
        <f>IF('SV Findings'!G130="Not Met", 'SV Findings'!J130,"")</f>
        <v/>
      </c>
      <c r="E91" s="786"/>
      <c r="F91" s="787"/>
      <c r="G91" s="293"/>
      <c r="Q91" s="49"/>
      <c r="R91" s="49"/>
      <c r="S91" s="49"/>
      <c r="T91" s="49"/>
      <c r="U91" s="49"/>
      <c r="V91" s="49"/>
      <c r="W91" s="49"/>
    </row>
    <row r="92" spans="2:23" s="2" customFormat="1" ht="30" customHeight="1" x14ac:dyDescent="0.15">
      <c r="B92" s="783" t="str">
        <f>IF('SV Findings'!G132="Not Met", 'SV Findings'!Q132,"")</f>
        <v/>
      </c>
      <c r="C92" s="784"/>
      <c r="D92" s="785" t="str">
        <f>IF('SV Findings'!G132="Not Met", 'SV Findings'!J132,"")</f>
        <v/>
      </c>
      <c r="E92" s="786"/>
      <c r="F92" s="787"/>
      <c r="G92" s="293"/>
      <c r="Q92" s="49"/>
      <c r="R92" s="49"/>
      <c r="S92" s="49"/>
      <c r="T92" s="49"/>
      <c r="U92" s="49"/>
      <c r="V92" s="49"/>
      <c r="W92" s="49"/>
    </row>
    <row r="93" spans="2:23" s="2" customFormat="1" ht="30" customHeight="1" x14ac:dyDescent="0.15">
      <c r="B93" s="783" t="str">
        <f>IF('SV Findings'!G133="Not Met", 'SV Findings'!Q133,"")</f>
        <v/>
      </c>
      <c r="C93" s="784"/>
      <c r="D93" s="785" t="str">
        <f>IF('SV Findings'!G133="Not Met", 'SV Findings'!J133,"")</f>
        <v/>
      </c>
      <c r="E93" s="786"/>
      <c r="F93" s="787"/>
      <c r="G93" s="293"/>
      <c r="Q93" s="49"/>
      <c r="R93" s="49"/>
      <c r="S93" s="49"/>
      <c r="T93" s="49"/>
      <c r="U93" s="49"/>
      <c r="V93" s="49"/>
      <c r="W93" s="49"/>
    </row>
    <row r="94" spans="2:23" s="2" customFormat="1" ht="30" customHeight="1" x14ac:dyDescent="0.15">
      <c r="B94" s="783" t="str">
        <f>IF('SV Findings'!G134="Not Met", 'SV Findings'!Q134,"")</f>
        <v/>
      </c>
      <c r="C94" s="784"/>
      <c r="D94" s="785" t="str">
        <f>IF('SV Findings'!G134="Not Met", 'SV Findings'!J134,"")</f>
        <v/>
      </c>
      <c r="E94" s="786"/>
      <c r="F94" s="787"/>
      <c r="G94" s="293"/>
      <c r="Q94" s="49"/>
      <c r="R94" s="49"/>
      <c r="S94" s="49"/>
      <c r="T94" s="49"/>
      <c r="U94" s="49"/>
      <c r="V94" s="49"/>
      <c r="W94" s="49"/>
    </row>
    <row r="95" spans="2:23" s="2" customFormat="1" ht="30" customHeight="1" x14ac:dyDescent="0.15">
      <c r="B95" s="783" t="str">
        <f>IF('SV Findings'!G135="Not Met", 'SV Findings'!Q135,"")</f>
        <v/>
      </c>
      <c r="C95" s="784"/>
      <c r="D95" s="785" t="str">
        <f>IF('SV Findings'!G135="Not Met", 'SV Findings'!J135,"")</f>
        <v/>
      </c>
      <c r="E95" s="786"/>
      <c r="F95" s="787"/>
      <c r="G95" s="293"/>
      <c r="Q95" s="49"/>
      <c r="R95" s="49"/>
      <c r="S95" s="49"/>
      <c r="T95" s="49"/>
      <c r="U95" s="49"/>
      <c r="V95" s="49"/>
      <c r="W95" s="49"/>
    </row>
    <row r="96" spans="2:23" s="2" customFormat="1" ht="30" customHeight="1" x14ac:dyDescent="0.15">
      <c r="B96" s="783" t="str">
        <f>IF('SV Findings'!G136="Not Met", 'SV Findings'!Q136,"")</f>
        <v/>
      </c>
      <c r="C96" s="784"/>
      <c r="D96" s="785" t="str">
        <f>IF('SV Findings'!G136="Not Met", 'SV Findings'!J136,"")</f>
        <v/>
      </c>
      <c r="E96" s="786"/>
      <c r="F96" s="787"/>
      <c r="G96" s="293"/>
      <c r="Q96" s="49"/>
      <c r="R96" s="49"/>
      <c r="S96" s="49"/>
      <c r="T96" s="49"/>
      <c r="U96" s="49"/>
      <c r="V96" s="49"/>
      <c r="W96" s="49"/>
    </row>
    <row r="97" spans="2:23" s="2" customFormat="1" ht="30" customHeight="1" x14ac:dyDescent="0.15">
      <c r="B97" s="783" t="str">
        <f>IF('SV Findings'!G140="Not Met", 'SV Findings'!Q140,"")</f>
        <v/>
      </c>
      <c r="C97" s="784"/>
      <c r="D97" s="785" t="str">
        <f>IF('SV Findings'!G140="Not Met", 'SV Findings'!J140,"")</f>
        <v/>
      </c>
      <c r="E97" s="786"/>
      <c r="F97" s="787"/>
      <c r="G97" s="293"/>
      <c r="Q97" s="49"/>
      <c r="R97" s="49"/>
      <c r="S97" s="49"/>
      <c r="T97" s="49"/>
      <c r="U97" s="49"/>
      <c r="V97" s="49"/>
      <c r="W97" s="49"/>
    </row>
    <row r="98" spans="2:23" s="2" customFormat="1" ht="30" customHeight="1" x14ac:dyDescent="0.15">
      <c r="B98" s="783" t="str">
        <f>IF('SV Findings'!G143="Not Met", 'SV Findings'!Q143,"")</f>
        <v/>
      </c>
      <c r="C98" s="784"/>
      <c r="D98" s="785" t="str">
        <f>IF('SV Findings'!G143="Not Met", 'SV Findings'!J143,"")</f>
        <v/>
      </c>
      <c r="E98" s="786"/>
      <c r="F98" s="787"/>
      <c r="G98" s="293"/>
      <c r="Q98" s="49"/>
      <c r="R98" s="49"/>
      <c r="S98" s="49"/>
      <c r="T98" s="49"/>
      <c r="U98" s="49"/>
      <c r="V98" s="49"/>
      <c r="W98" s="49"/>
    </row>
    <row r="99" spans="2:23" s="2" customFormat="1" ht="30" customHeight="1" x14ac:dyDescent="0.15">
      <c r="B99" s="783" t="str">
        <f>IF('SV Findings'!G144="Not Met", 'SV Findings'!Q144,"")</f>
        <v/>
      </c>
      <c r="C99" s="784"/>
      <c r="D99" s="785" t="str">
        <f>IF('SV Findings'!G144="Not Met", 'SV Findings'!J144,"")</f>
        <v/>
      </c>
      <c r="E99" s="786"/>
      <c r="F99" s="787"/>
      <c r="G99" s="293"/>
      <c r="Q99" s="49"/>
      <c r="R99" s="49"/>
      <c r="S99" s="49"/>
      <c r="T99" s="49"/>
      <c r="U99" s="49"/>
      <c r="V99" s="49"/>
      <c r="W99" s="49"/>
    </row>
    <row r="100" spans="2:23" s="2" customFormat="1" ht="30" customHeight="1" x14ac:dyDescent="0.15">
      <c r="B100" s="783" t="str">
        <f>IF('SV Findings'!G145="Not Met", 'SV Findings'!Q145,"")</f>
        <v/>
      </c>
      <c r="C100" s="784"/>
      <c r="D100" s="785" t="str">
        <f>IF('SV Findings'!G145="Not Met", 'SV Findings'!J145,"")</f>
        <v/>
      </c>
      <c r="E100" s="786"/>
      <c r="F100" s="787"/>
      <c r="G100" s="293"/>
      <c r="Q100" s="49"/>
      <c r="R100" s="49"/>
      <c r="S100" s="49"/>
      <c r="T100" s="49"/>
      <c r="U100" s="49"/>
      <c r="V100" s="49"/>
      <c r="W100" s="49"/>
    </row>
    <row r="101" spans="2:23" s="2" customFormat="1" ht="30" customHeight="1" x14ac:dyDescent="0.15">
      <c r="B101" s="783" t="str">
        <f>IF('SV Findings'!G150="No", 'SV Findings'!Q151,"")</f>
        <v/>
      </c>
      <c r="C101" s="784"/>
      <c r="D101" s="785" t="str">
        <f>IF('SV Findings'!G150="No", 'SV Findings'!J151,"")</f>
        <v/>
      </c>
      <c r="E101" s="786"/>
      <c r="F101" s="787"/>
      <c r="G101" s="293"/>
      <c r="Q101" s="49"/>
      <c r="R101" s="49"/>
      <c r="S101" s="49"/>
      <c r="T101" s="49"/>
      <c r="U101" s="49"/>
      <c r="V101" s="49"/>
      <c r="W101" s="49"/>
    </row>
    <row r="102" spans="2:23" s="2" customFormat="1" ht="30" customHeight="1" x14ac:dyDescent="0.15">
      <c r="B102" s="783" t="str">
        <f>IF('SV Findings'!G153="Not Met", 'SV Findings'!Q153,"")</f>
        <v/>
      </c>
      <c r="C102" s="784"/>
      <c r="D102" s="785" t="str">
        <f>IF('SV Findings'!G153="Not Met", 'SV Findings'!J153,"")</f>
        <v/>
      </c>
      <c r="E102" s="786"/>
      <c r="F102" s="787"/>
      <c r="G102" s="293"/>
      <c r="Q102" s="49"/>
      <c r="R102" s="49"/>
      <c r="S102" s="49"/>
      <c r="T102" s="49"/>
      <c r="U102" s="49"/>
      <c r="V102" s="49"/>
      <c r="W102" s="49"/>
    </row>
    <row r="103" spans="2:23" s="2" customFormat="1" ht="30" customHeight="1" x14ac:dyDescent="0.15">
      <c r="B103" s="783" t="str">
        <f>IF('SV Findings'!G156="Not Met", 'SV Findings'!Q156,"")</f>
        <v/>
      </c>
      <c r="C103" s="784"/>
      <c r="D103" s="785" t="str">
        <f>IF('SV Findings'!G156="Not Met", 'SV Findings'!J156,"")</f>
        <v/>
      </c>
      <c r="E103" s="786"/>
      <c r="F103" s="787"/>
      <c r="G103" s="293"/>
      <c r="Q103" s="49"/>
      <c r="R103" s="49"/>
      <c r="S103" s="49"/>
      <c r="T103" s="49"/>
      <c r="U103" s="49"/>
      <c r="V103" s="49"/>
      <c r="W103" s="49"/>
    </row>
    <row r="104" spans="2:23" s="2" customFormat="1" ht="30" customHeight="1" x14ac:dyDescent="0.15">
      <c r="B104" s="783" t="str">
        <f>IF('SV Findings'!G157="Not Met", 'SV Findings'!Q157,"")</f>
        <v/>
      </c>
      <c r="C104" s="784"/>
      <c r="D104" s="785" t="str">
        <f>IF('SV Findings'!G157="Not Met", 'SV Findings'!J157,"")</f>
        <v/>
      </c>
      <c r="E104" s="786"/>
      <c r="F104" s="787"/>
      <c r="G104" s="293"/>
      <c r="Q104" s="49"/>
      <c r="R104" s="49"/>
      <c r="S104" s="49"/>
      <c r="T104" s="49"/>
      <c r="U104" s="49"/>
      <c r="V104" s="49"/>
      <c r="W104" s="49"/>
    </row>
    <row r="105" spans="2:23" s="2" customFormat="1" ht="30" customHeight="1" x14ac:dyDescent="0.15">
      <c r="B105" s="783" t="str">
        <f>IF('SV Findings'!G159="Not Met", 'SV Findings'!Q159,"")</f>
        <v/>
      </c>
      <c r="C105" s="784"/>
      <c r="D105" s="785" t="str">
        <f>IF('SV Findings'!G159="Not Met", 'SV Findings'!J159,"")</f>
        <v/>
      </c>
      <c r="E105" s="786"/>
      <c r="F105" s="787"/>
      <c r="G105" s="293"/>
      <c r="Q105" s="49"/>
      <c r="R105" s="49"/>
      <c r="S105" s="49"/>
      <c r="T105" s="49"/>
      <c r="U105" s="49"/>
      <c r="V105" s="49"/>
      <c r="W105" s="49"/>
    </row>
    <row r="106" spans="2:23" s="2" customFormat="1" ht="30" customHeight="1" x14ac:dyDescent="0.15">
      <c r="B106" s="783" t="str">
        <f>IF('SV Findings'!G163="Not Met", 'SV Findings'!Q163,"")</f>
        <v/>
      </c>
      <c r="C106" s="784"/>
      <c r="D106" s="785" t="str">
        <f>IF('SV Findings'!G163="Not Met", 'SV Findings'!J163,"")</f>
        <v/>
      </c>
      <c r="E106" s="786"/>
      <c r="F106" s="787"/>
      <c r="G106" s="293"/>
      <c r="Q106" s="49"/>
      <c r="R106" s="49"/>
      <c r="S106" s="49"/>
      <c r="T106" s="49"/>
      <c r="U106" s="49"/>
      <c r="V106" s="49"/>
      <c r="W106" s="49"/>
    </row>
    <row r="107" spans="2:23" s="2" customFormat="1" ht="30" customHeight="1" x14ac:dyDescent="0.15">
      <c r="B107" s="783" t="str">
        <f>IF('SV Findings'!G166="Not Met", 'SV Findings'!Q166,"")</f>
        <v/>
      </c>
      <c r="C107" s="784"/>
      <c r="D107" s="785" t="str">
        <f>IF('SV Findings'!G166="Not Met", 'SV Findings'!J166,"")</f>
        <v/>
      </c>
      <c r="E107" s="786"/>
      <c r="F107" s="787"/>
      <c r="G107" s="293"/>
      <c r="Q107" s="49"/>
      <c r="R107" s="49"/>
      <c r="S107" s="49"/>
      <c r="T107" s="49"/>
      <c r="U107" s="49"/>
      <c r="V107" s="49"/>
      <c r="W107" s="49"/>
    </row>
    <row r="108" spans="2:23" s="2" customFormat="1" ht="30" customHeight="1" x14ac:dyDescent="0.15">
      <c r="B108" s="783" t="str">
        <f>IF('SV Findings'!G167="Not Met", 'SV Findings'!Q167,"")</f>
        <v/>
      </c>
      <c r="C108" s="784"/>
      <c r="D108" s="785" t="str">
        <f>IF('SV Findings'!G167="Not Met", 'SV Findings'!J167,"")</f>
        <v/>
      </c>
      <c r="E108" s="786"/>
      <c r="F108" s="787"/>
      <c r="G108" s="293"/>
      <c r="Q108" s="49"/>
      <c r="R108" s="49"/>
      <c r="S108" s="49"/>
      <c r="T108" s="49"/>
      <c r="U108" s="49"/>
      <c r="V108" s="49"/>
      <c r="W108" s="49"/>
    </row>
    <row r="109" spans="2:23" s="2" customFormat="1" ht="30" customHeight="1" x14ac:dyDescent="0.15">
      <c r="B109" s="783" t="str">
        <f>IF('SV Findings'!G168="Not Met", 'SV Findings'!Q168,"")</f>
        <v/>
      </c>
      <c r="C109" s="784"/>
      <c r="D109" s="785" t="str">
        <f>IF('SV Findings'!G168="Not Met", 'SV Findings'!J168,"")</f>
        <v/>
      </c>
      <c r="E109" s="786"/>
      <c r="F109" s="787"/>
      <c r="G109" s="293"/>
      <c r="Q109" s="49"/>
      <c r="R109" s="49"/>
      <c r="S109" s="49"/>
      <c r="T109" s="49"/>
      <c r="U109" s="49"/>
      <c r="V109" s="49"/>
      <c r="W109" s="49"/>
    </row>
    <row r="110" spans="2:23" s="2" customFormat="1" ht="30" customHeight="1" x14ac:dyDescent="0.15">
      <c r="B110" s="783" t="str">
        <f>IF('SV Findings'!G170="Not Met", 'SV Findings'!Q170,"")</f>
        <v/>
      </c>
      <c r="C110" s="784"/>
      <c r="D110" s="785" t="str">
        <f>IF('SV Findings'!G170="Not Met", 'SV Findings'!J170,"")</f>
        <v/>
      </c>
      <c r="E110" s="786"/>
      <c r="F110" s="787"/>
      <c r="G110" s="293"/>
      <c r="Q110" s="49"/>
      <c r="R110" s="49"/>
      <c r="S110" s="49"/>
      <c r="T110" s="49"/>
      <c r="U110" s="49"/>
      <c r="V110" s="49"/>
      <c r="W110" s="49"/>
    </row>
    <row r="111" spans="2:23" s="2" customFormat="1" ht="30" customHeight="1" x14ac:dyDescent="0.15">
      <c r="B111" s="783" t="str">
        <f>IF('SV Findings'!G172="No", 'SV Findings'!Q173,"")</f>
        <v/>
      </c>
      <c r="C111" s="784"/>
      <c r="D111" s="785" t="str">
        <f>IF('SV Findings'!G172="No", 'SV Findings'!J173,"")</f>
        <v/>
      </c>
      <c r="E111" s="786"/>
      <c r="F111" s="787"/>
      <c r="G111" s="293"/>
      <c r="Q111" s="49"/>
      <c r="R111" s="49"/>
      <c r="S111" s="49"/>
      <c r="T111" s="49"/>
      <c r="U111" s="49"/>
      <c r="V111" s="49"/>
      <c r="W111" s="49"/>
    </row>
    <row r="112" spans="2:23" s="2" customFormat="1" ht="30" customHeight="1" x14ac:dyDescent="0.15">
      <c r="B112" s="783" t="str">
        <f>IF('SV Findings'!G175="Not Met", 'SV Findings'!Q175,"")</f>
        <v/>
      </c>
      <c r="C112" s="784"/>
      <c r="D112" s="785" t="str">
        <f>IF('SV Findings'!G175="Not Met", 'SV Findings'!J175,"")</f>
        <v/>
      </c>
      <c r="E112" s="786"/>
      <c r="F112" s="787"/>
      <c r="G112" s="293"/>
      <c r="Q112" s="49"/>
      <c r="R112" s="49"/>
      <c r="S112" s="49"/>
      <c r="T112" s="49"/>
      <c r="U112" s="49"/>
      <c r="V112" s="49"/>
      <c r="W112" s="49"/>
    </row>
    <row r="113" spans="2:23" s="2" customFormat="1" ht="30" customHeight="1" x14ac:dyDescent="0.15">
      <c r="B113" s="783" t="str">
        <f>IF('SV Findings'!G178="Not Met", 'SV Findings'!Q179,"")</f>
        <v/>
      </c>
      <c r="C113" s="784"/>
      <c r="D113" s="785" t="str">
        <f>IF('SV Findings'!G178="Not Met", 'SV Findings'!J178,"")</f>
        <v/>
      </c>
      <c r="E113" s="786"/>
      <c r="F113" s="787"/>
      <c r="G113" s="293"/>
      <c r="Q113" s="49"/>
      <c r="R113" s="49"/>
      <c r="S113" s="49"/>
      <c r="T113" s="49"/>
      <c r="U113" s="49"/>
      <c r="V113" s="49"/>
      <c r="W113" s="49"/>
    </row>
    <row r="114" spans="2:23" s="2" customFormat="1" ht="30" customHeight="1" x14ac:dyDescent="0.15">
      <c r="B114" s="783" t="str">
        <f>IF('SV Findings'!G180="Not Met", 'SV Findings'!Q180,"")</f>
        <v/>
      </c>
      <c r="C114" s="784"/>
      <c r="D114" s="785" t="str">
        <f>IF('SV Findings'!G180="Not Met", 'SV Findings'!J180,"")</f>
        <v/>
      </c>
      <c r="E114" s="786"/>
      <c r="F114" s="787"/>
      <c r="G114" s="293"/>
      <c r="Q114" s="49"/>
      <c r="R114" s="49"/>
      <c r="S114" s="49"/>
      <c r="T114" s="49"/>
      <c r="U114" s="49"/>
      <c r="V114" s="49"/>
      <c r="W114" s="49"/>
    </row>
    <row r="115" spans="2:23" s="2" customFormat="1" ht="30" customHeight="1" x14ac:dyDescent="0.15">
      <c r="B115" s="783" t="str">
        <f>IF('SV Findings'!G181="Not Met", 'SV Findings'!Q181,"")</f>
        <v/>
      </c>
      <c r="C115" s="784"/>
      <c r="D115" s="785" t="str">
        <f>IF('SV Findings'!G181="Not Met", 'SV Findings'!J181,"")</f>
        <v/>
      </c>
      <c r="E115" s="786"/>
      <c r="F115" s="787"/>
      <c r="G115" s="293"/>
      <c r="Q115" s="49"/>
      <c r="R115" s="49"/>
      <c r="S115" s="49"/>
      <c r="T115" s="49"/>
      <c r="U115" s="49"/>
      <c r="V115" s="49"/>
      <c r="W115" s="49"/>
    </row>
    <row r="116" spans="2:23" s="2" customFormat="1" ht="30" customHeight="1" x14ac:dyDescent="0.15">
      <c r="B116" s="783" t="str">
        <f>IF('SV Findings'!G182="Not Met", 'SV Findings'!Q182,"")</f>
        <v/>
      </c>
      <c r="C116" s="784"/>
      <c r="D116" s="785" t="str">
        <f>IF('SV Findings'!G182="Not Met", 'SV Findings'!J182,"")</f>
        <v/>
      </c>
      <c r="E116" s="786"/>
      <c r="F116" s="787"/>
      <c r="G116" s="293"/>
      <c r="Q116" s="49"/>
      <c r="R116" s="49"/>
      <c r="S116" s="49"/>
      <c r="T116" s="49"/>
      <c r="U116" s="49"/>
      <c r="V116" s="49"/>
      <c r="W116" s="49"/>
    </row>
    <row r="117" spans="2:23" s="2" customFormat="1" ht="30" customHeight="1" x14ac:dyDescent="0.15">
      <c r="B117" s="783" t="str">
        <f>IF('SV Findings'!G183="Not Met", 'SV Findings'!Q183,"")</f>
        <v/>
      </c>
      <c r="C117" s="784"/>
      <c r="D117" s="785" t="str">
        <f>IF('SV Findings'!G183="Not Met", 'SV Findings'!J183,"")</f>
        <v/>
      </c>
      <c r="E117" s="786"/>
      <c r="F117" s="787"/>
      <c r="G117" s="293"/>
      <c r="Q117" s="49"/>
      <c r="R117" s="49"/>
      <c r="S117" s="49"/>
      <c r="T117" s="49"/>
      <c r="U117" s="49"/>
      <c r="V117" s="49"/>
      <c r="W117" s="49"/>
    </row>
    <row r="118" spans="2:23" s="2" customFormat="1" ht="30" customHeight="1" x14ac:dyDescent="0.15">
      <c r="B118" s="783" t="str">
        <f>IF('SV Findings'!G187="Not Met", 'SV Findings'!Q187,"")</f>
        <v/>
      </c>
      <c r="C118" s="784"/>
      <c r="D118" s="785" t="str">
        <f>IF('SV Findings'!G187="Not Met", 'SV Findings'!J187,"")</f>
        <v/>
      </c>
      <c r="E118" s="786"/>
      <c r="F118" s="787"/>
      <c r="G118" s="293"/>
      <c r="Q118" s="49"/>
      <c r="R118" s="49"/>
      <c r="S118" s="49"/>
      <c r="T118" s="49"/>
      <c r="U118" s="49"/>
      <c r="V118" s="49"/>
      <c r="W118" s="49"/>
    </row>
    <row r="119" spans="2:23" s="2" customFormat="1" ht="30" customHeight="1" x14ac:dyDescent="0.15">
      <c r="B119" s="783" t="str">
        <f>IF('SV Findings'!G188="Not Met", 'SV Findings'!Q188,"")</f>
        <v/>
      </c>
      <c r="C119" s="784"/>
      <c r="D119" s="785" t="str">
        <f>IF('SV Findings'!G188="Not Met", 'SV Findings'!J188,"")</f>
        <v/>
      </c>
      <c r="E119" s="786"/>
      <c r="F119" s="787"/>
      <c r="G119" s="293"/>
      <c r="Q119" s="49"/>
      <c r="R119" s="49"/>
      <c r="S119" s="49"/>
      <c r="T119" s="49"/>
      <c r="U119" s="49"/>
      <c r="V119" s="49"/>
      <c r="W119" s="49"/>
    </row>
    <row r="120" spans="2:23" s="2" customFormat="1" ht="30" customHeight="1" x14ac:dyDescent="0.15">
      <c r="B120" s="783" t="str">
        <f>IF('SV Findings'!G189="Not Met", 'SV Findings'!Q190,"")</f>
        <v/>
      </c>
      <c r="C120" s="784"/>
      <c r="D120" s="785" t="str">
        <f>IF('SV Findings'!G189="Not Met", 'SV Findings'!J189,"")</f>
        <v/>
      </c>
      <c r="E120" s="786"/>
      <c r="F120" s="787"/>
      <c r="G120" s="293"/>
      <c r="Q120" s="49"/>
      <c r="R120" s="49"/>
      <c r="S120" s="49"/>
      <c r="T120" s="49"/>
      <c r="U120" s="49"/>
      <c r="V120" s="49"/>
      <c r="W120" s="49"/>
    </row>
    <row r="121" spans="2:23" s="2" customFormat="1" ht="30" customHeight="1" x14ac:dyDescent="0.15">
      <c r="B121" s="783" t="str">
        <f>IF('SV Findings'!G191="Not Met", 'SV Findings'!Q192,"")</f>
        <v/>
      </c>
      <c r="C121" s="784"/>
      <c r="D121" s="785" t="str">
        <f>IF('SV Findings'!G191="Not Met", 'SV Findings'!J191,"")</f>
        <v/>
      </c>
      <c r="E121" s="786"/>
      <c r="F121" s="787"/>
      <c r="G121" s="293"/>
      <c r="Q121" s="49"/>
      <c r="R121" s="49"/>
      <c r="S121" s="49"/>
      <c r="T121" s="49"/>
      <c r="U121" s="49"/>
      <c r="V121" s="49"/>
      <c r="W121" s="49"/>
    </row>
    <row r="122" spans="2:23" s="2" customFormat="1" ht="30" customHeight="1" x14ac:dyDescent="0.15">
      <c r="B122" s="783" t="str">
        <f>IF('SV Findings'!G194="Not Met", 'SV Findings'!Q194,"")</f>
        <v/>
      </c>
      <c r="C122" s="784"/>
      <c r="D122" s="785" t="str">
        <f>IF('SV Findings'!G194="Not Met", 'SV Findings'!J194,"")</f>
        <v/>
      </c>
      <c r="E122" s="786"/>
      <c r="F122" s="787"/>
      <c r="G122" s="293"/>
      <c r="Q122" s="49"/>
      <c r="R122" s="49"/>
      <c r="S122" s="49"/>
      <c r="T122" s="49"/>
      <c r="U122" s="49"/>
      <c r="V122" s="49"/>
      <c r="W122" s="49"/>
    </row>
    <row r="123" spans="2:23" s="2" customFormat="1" ht="30" customHeight="1" x14ac:dyDescent="0.15">
      <c r="B123" s="783" t="str">
        <f>IF('SV Findings'!G195="Not Met", 'SV Findings'!Q195,"")</f>
        <v/>
      </c>
      <c r="C123" s="784"/>
      <c r="D123" s="785" t="str">
        <f>IF('SV Findings'!G195="Not Met", 'SV Findings'!J195,"")</f>
        <v/>
      </c>
      <c r="E123" s="786"/>
      <c r="F123" s="787"/>
      <c r="G123" s="293"/>
      <c r="Q123" s="49"/>
      <c r="R123" s="49"/>
      <c r="S123" s="49"/>
      <c r="T123" s="49"/>
      <c r="U123" s="49"/>
      <c r="V123" s="49"/>
      <c r="W123" s="49"/>
    </row>
    <row r="124" spans="2:23" s="2" customFormat="1" ht="30" customHeight="1" x14ac:dyDescent="0.15">
      <c r="B124" s="783" t="str">
        <f>IF('SV Findings'!G196="Not Met", 'SV Findings'!Q196,"")</f>
        <v/>
      </c>
      <c r="C124" s="784"/>
      <c r="D124" s="785" t="str">
        <f>IF('SV Findings'!G196="Not Met", 'SV Findings'!J196,"")</f>
        <v/>
      </c>
      <c r="E124" s="786"/>
      <c r="F124" s="787"/>
      <c r="G124" s="293"/>
      <c r="Q124" s="49"/>
      <c r="R124" s="49"/>
      <c r="S124" s="49"/>
      <c r="T124" s="49"/>
      <c r="U124" s="49"/>
      <c r="V124" s="49"/>
      <c r="W124" s="49"/>
    </row>
    <row r="125" spans="2:23" s="2" customFormat="1" ht="30" customHeight="1" x14ac:dyDescent="0.15">
      <c r="B125" s="783" t="str">
        <f>IF('SV Findings'!G205="Not Met", 'SV Findings'!Q205,"")</f>
        <v/>
      </c>
      <c r="C125" s="784"/>
      <c r="D125" s="785" t="str">
        <f>IF('SV Findings'!G205="Not Met", 'SV Findings'!J205,"")</f>
        <v/>
      </c>
      <c r="E125" s="786"/>
      <c r="F125" s="787"/>
      <c r="G125" s="293"/>
      <c r="Q125" s="49"/>
      <c r="R125" s="49"/>
      <c r="S125" s="49"/>
      <c r="T125" s="49"/>
      <c r="U125" s="49"/>
      <c r="V125" s="49"/>
      <c r="W125" s="49"/>
    </row>
    <row r="126" spans="2:23" s="2" customFormat="1" ht="30" customHeight="1" x14ac:dyDescent="0.15">
      <c r="B126" s="783" t="str">
        <f>IF('SV Findings'!G206="Not Met", 'SV Findings'!Q206,"")</f>
        <v/>
      </c>
      <c r="C126" s="784"/>
      <c r="D126" s="785" t="str">
        <f>IF('SV Findings'!G206="Not Met", 'SV Findings'!J206,"")</f>
        <v/>
      </c>
      <c r="E126" s="786"/>
      <c r="F126" s="787"/>
      <c r="G126" s="293"/>
      <c r="Q126" s="49"/>
      <c r="R126" s="49"/>
      <c r="S126" s="49"/>
      <c r="T126" s="49"/>
      <c r="U126" s="49"/>
      <c r="V126" s="49"/>
      <c r="W126" s="49"/>
    </row>
    <row r="127" spans="2:23" s="2" customFormat="1" ht="30" customHeight="1" x14ac:dyDescent="0.15">
      <c r="B127" s="783" t="str">
        <f>IF('SV Findings'!G207="Not Met", 'SV Findings'!Q207,"")</f>
        <v/>
      </c>
      <c r="C127" s="784"/>
      <c r="D127" s="785" t="str">
        <f>IF('SV Findings'!G207="Not Met", 'SV Findings'!J207,"")</f>
        <v/>
      </c>
      <c r="E127" s="786"/>
      <c r="F127" s="787"/>
      <c r="G127" s="293"/>
      <c r="Q127" s="49"/>
      <c r="R127" s="49"/>
      <c r="S127" s="49"/>
      <c r="T127" s="49"/>
      <c r="U127" s="49"/>
      <c r="V127" s="49"/>
      <c r="W127" s="49"/>
    </row>
    <row r="128" spans="2:23" s="2" customFormat="1" ht="30" customHeight="1" x14ac:dyDescent="0.15">
      <c r="B128" s="783" t="str">
        <f>IF('SV Findings'!G198="Not Met", 'SV Findings'!Q198,"")</f>
        <v/>
      </c>
      <c r="C128" s="784"/>
      <c r="D128" s="785" t="str">
        <f>IF('SV Findings'!G198="Not Met", 'SV Findings'!J198,"")</f>
        <v/>
      </c>
      <c r="E128" s="786"/>
      <c r="F128" s="787"/>
      <c r="G128" s="293"/>
      <c r="Q128" s="49"/>
      <c r="R128" s="49"/>
      <c r="S128" s="49"/>
      <c r="T128" s="49"/>
      <c r="U128" s="49"/>
      <c r="V128" s="49"/>
      <c r="W128" s="49"/>
    </row>
    <row r="129" spans="2:23" s="2" customFormat="1" ht="30" customHeight="1" x14ac:dyDescent="0.15">
      <c r="B129" s="783" t="str">
        <f>IF('SV Findings'!G200="Not Met", 'SV Findings'!Q200,"")</f>
        <v/>
      </c>
      <c r="C129" s="784"/>
      <c r="D129" s="785" t="str">
        <f>IF('SV Findings'!G200="Not Met", 'SV Findings'!J200,"")</f>
        <v/>
      </c>
      <c r="E129" s="786"/>
      <c r="F129" s="787"/>
      <c r="G129" s="293"/>
      <c r="Q129" s="49"/>
      <c r="R129" s="49"/>
      <c r="S129" s="49"/>
      <c r="T129" s="49"/>
      <c r="U129" s="49"/>
      <c r="V129" s="49"/>
      <c r="W129" s="49"/>
    </row>
    <row r="130" spans="2:23" s="2" customFormat="1" ht="30" customHeight="1" x14ac:dyDescent="0.15">
      <c r="B130" s="783" t="str">
        <f>IF('SV Findings'!G201="Not Met", 'SV Findings'!Q201,"")</f>
        <v/>
      </c>
      <c r="C130" s="784"/>
      <c r="D130" s="785" t="str">
        <f>IF('SV Findings'!G201="Not Met", 'SV Findings'!J201,"")</f>
        <v/>
      </c>
      <c r="E130" s="786"/>
      <c r="F130" s="787"/>
      <c r="G130" s="293"/>
      <c r="Q130" s="49"/>
      <c r="R130" s="49"/>
      <c r="S130" s="49"/>
      <c r="T130" s="49"/>
      <c r="U130" s="49"/>
      <c r="V130" s="49"/>
      <c r="W130" s="49"/>
    </row>
    <row r="131" spans="2:23" s="2" customFormat="1" ht="30" customHeight="1" x14ac:dyDescent="0.15">
      <c r="B131" s="783" t="str">
        <f>IF('SV Findings'!G202="Not Met", 'SV Findings'!Q202,"")</f>
        <v/>
      </c>
      <c r="C131" s="784"/>
      <c r="D131" s="785" t="str">
        <f>IF('SV Findings'!G202="Not Met", 'SV Findings'!J202,"")</f>
        <v/>
      </c>
      <c r="E131" s="786"/>
      <c r="F131" s="787"/>
      <c r="G131" s="293"/>
      <c r="Q131" s="49"/>
      <c r="R131" s="49"/>
      <c r="S131" s="49"/>
      <c r="T131" s="49"/>
      <c r="U131" s="49"/>
      <c r="V131" s="49"/>
      <c r="W131" s="49"/>
    </row>
    <row r="132" spans="2:23" s="2" customFormat="1" ht="30" customHeight="1" x14ac:dyDescent="0.15">
      <c r="B132" s="783" t="str">
        <f>IF('SV Findings'!G203="Not Met", 'SV Findings'!Q203,"")</f>
        <v/>
      </c>
      <c r="C132" s="784"/>
      <c r="D132" s="785" t="str">
        <f>IF('SV Findings'!G203="Not Met", 'SV Findings'!J203,"")</f>
        <v/>
      </c>
      <c r="E132" s="786"/>
      <c r="F132" s="787"/>
      <c r="G132" s="293"/>
      <c r="Q132" s="49"/>
      <c r="R132" s="49"/>
      <c r="S132" s="49"/>
      <c r="T132" s="49"/>
      <c r="U132" s="49"/>
      <c r="V132" s="49"/>
      <c r="W132" s="49"/>
    </row>
    <row r="133" spans="2:23" s="2" customFormat="1" ht="30" customHeight="1" x14ac:dyDescent="0.15">
      <c r="B133" s="783" t="str">
        <f>IF('SV Findings'!G204="Not Met", 'SV Findings'!Q204,"")</f>
        <v/>
      </c>
      <c r="C133" s="784"/>
      <c r="D133" s="785" t="str">
        <f>IF('SV Findings'!G204="Not Met", 'SV Findings'!J204,"")</f>
        <v/>
      </c>
      <c r="E133" s="786"/>
      <c r="F133" s="787"/>
      <c r="G133" s="293"/>
      <c r="Q133" s="49"/>
      <c r="R133" s="49"/>
      <c r="S133" s="49"/>
      <c r="T133" s="49"/>
      <c r="U133" s="49"/>
      <c r="V133" s="49"/>
      <c r="W133" s="49"/>
    </row>
    <row r="134" spans="2:23" s="2" customFormat="1" ht="30" customHeight="1" x14ac:dyDescent="0.15">
      <c r="B134" s="783" t="str">
        <f>IF('SV Findings'!G205="Not Met", 'SV Findings'!Q205,"")</f>
        <v/>
      </c>
      <c r="C134" s="784"/>
      <c r="D134" s="785" t="str">
        <f>IF('SV Findings'!G205="Not Met", 'SV Findings'!J205,"")</f>
        <v/>
      </c>
      <c r="E134" s="786"/>
      <c r="F134" s="787"/>
      <c r="G134" s="293"/>
      <c r="Q134" s="49"/>
      <c r="R134" s="49"/>
      <c r="S134" s="49"/>
      <c r="T134" s="49"/>
      <c r="U134" s="49"/>
      <c r="V134" s="49"/>
      <c r="W134" s="49"/>
    </row>
    <row r="135" spans="2:23" s="2" customFormat="1" ht="30" customHeight="1" x14ac:dyDescent="0.15">
      <c r="B135" s="783" t="str">
        <f>IF('SV Findings'!G206="Not Met", 'SV Findings'!Q206,"")</f>
        <v/>
      </c>
      <c r="C135" s="784"/>
      <c r="D135" s="785" t="str">
        <f>IF('SV Findings'!G206="Not Met", 'SV Findings'!J206,"")</f>
        <v/>
      </c>
      <c r="E135" s="786"/>
      <c r="F135" s="787"/>
      <c r="G135" s="293"/>
      <c r="Q135" s="49"/>
      <c r="R135" s="49"/>
      <c r="S135" s="49"/>
      <c r="T135" s="49"/>
      <c r="U135" s="49"/>
      <c r="V135" s="49"/>
      <c r="W135" s="49"/>
    </row>
    <row r="136" spans="2:23" s="2" customFormat="1" ht="30" customHeight="1" x14ac:dyDescent="0.15">
      <c r="B136" s="783" t="str">
        <f>IF('SV Findings'!G208="Not Met", 'SV Findings'!Q208,"")</f>
        <v/>
      </c>
      <c r="C136" s="784"/>
      <c r="D136" s="785" t="str">
        <f>IF('SV Findings'!G208="Not Met", 'SV Findings'!J208,"")</f>
        <v/>
      </c>
      <c r="E136" s="786"/>
      <c r="F136" s="787"/>
      <c r="G136" s="293"/>
      <c r="Q136" s="49"/>
      <c r="R136" s="49"/>
      <c r="S136" s="49"/>
      <c r="T136" s="49"/>
      <c r="U136" s="49"/>
      <c r="V136" s="49"/>
      <c r="W136" s="49"/>
    </row>
    <row r="137" spans="2:23" s="2" customFormat="1" ht="42" customHeight="1" x14ac:dyDescent="0.15">
      <c r="B137" s="783" t="str">
        <f>IF('SV Findings'!G211="Not Met", 'SV Findings'!Q211,"")</f>
        <v/>
      </c>
      <c r="C137" s="784"/>
      <c r="D137" s="785" t="str">
        <f>IF('SV Findings'!G211="Not Met", 'SV Findings'!J211,"")</f>
        <v/>
      </c>
      <c r="E137" s="786"/>
      <c r="F137" s="787"/>
      <c r="G137" s="293"/>
      <c r="Q137" s="49"/>
      <c r="R137" s="49"/>
      <c r="S137" s="49"/>
      <c r="T137" s="49"/>
      <c r="U137" s="49"/>
      <c r="V137" s="49"/>
      <c r="W137" s="49"/>
    </row>
    <row r="138" spans="2:23" s="2" customFormat="1" ht="42" customHeight="1" x14ac:dyDescent="0.15">
      <c r="B138" s="783" t="str">
        <f>IF('SV Findings'!G212="Not Met", 'SV Findings'!Q212,"")</f>
        <v/>
      </c>
      <c r="C138" s="784"/>
      <c r="D138" s="785" t="str">
        <f>IF('SV Findings'!G212="Not Met", 'SV Findings'!J212,"")</f>
        <v/>
      </c>
      <c r="E138" s="786"/>
      <c r="F138" s="787"/>
      <c r="G138" s="293"/>
      <c r="Q138" s="49"/>
      <c r="R138" s="49"/>
      <c r="S138" s="49"/>
      <c r="T138" s="49"/>
      <c r="U138" s="49"/>
      <c r="V138" s="49"/>
      <c r="W138" s="49"/>
    </row>
    <row r="139" spans="2:23" s="2" customFormat="1" ht="42" customHeight="1" x14ac:dyDescent="0.15">
      <c r="B139" s="783" t="str">
        <f>IF('SV Findings'!G213="Not Met", 'SV Findings'!Q213,"")</f>
        <v/>
      </c>
      <c r="C139" s="784"/>
      <c r="D139" s="785" t="str">
        <f>IF('SV Findings'!G213="Not Met", 'SV Findings'!J213,"")</f>
        <v/>
      </c>
      <c r="E139" s="786"/>
      <c r="F139" s="787"/>
      <c r="G139" s="293"/>
      <c r="Q139" s="49"/>
      <c r="R139" s="49"/>
      <c r="S139" s="49"/>
      <c r="T139" s="49"/>
      <c r="U139" s="49"/>
      <c r="V139" s="49"/>
      <c r="W139" s="49"/>
    </row>
    <row r="140" spans="2:23" s="2" customFormat="1" ht="30" customHeight="1" x14ac:dyDescent="0.15">
      <c r="B140" s="783" t="str">
        <f>IF('SV Findings'!G214="Not Met", 'SV Findings'!Q215,"")</f>
        <v/>
      </c>
      <c r="C140" s="784"/>
      <c r="D140" s="785" t="str">
        <f>IF('SV Findings'!G214="Not Met", 'SV Findings'!J214,"")</f>
        <v/>
      </c>
      <c r="E140" s="786"/>
      <c r="F140" s="787"/>
      <c r="G140" s="293"/>
      <c r="Q140" s="49"/>
      <c r="R140" s="49"/>
      <c r="S140" s="49"/>
      <c r="T140" s="49"/>
      <c r="U140" s="49"/>
      <c r="V140" s="49"/>
      <c r="W140" s="49"/>
    </row>
    <row r="141" spans="2:23" s="2" customFormat="1" ht="42" customHeight="1" x14ac:dyDescent="0.15">
      <c r="B141" s="783" t="str">
        <f>IF('SV Findings'!G217="Not Met", 'SV Findings'!Q217,"")</f>
        <v/>
      </c>
      <c r="C141" s="784"/>
      <c r="D141" s="785" t="str">
        <f>IF('SV Findings'!G217="Not Met", 'SV Findings'!J217,"")</f>
        <v/>
      </c>
      <c r="E141" s="786"/>
      <c r="F141" s="787"/>
      <c r="G141" s="293"/>
      <c r="Q141" s="49"/>
      <c r="R141" s="49"/>
      <c r="S141" s="49"/>
      <c r="T141" s="49"/>
      <c r="U141" s="49"/>
      <c r="V141" s="49"/>
      <c r="W141" s="49"/>
    </row>
    <row r="142" spans="2:23" s="2" customFormat="1" ht="42" customHeight="1" x14ac:dyDescent="0.15">
      <c r="B142" s="783" t="str">
        <f>IF('SV Findings'!G218="Not Met", 'SV Findings'!Q218,"")</f>
        <v/>
      </c>
      <c r="C142" s="784"/>
      <c r="D142" s="785" t="str">
        <f>IF('SV Findings'!G218="Not Met", 'SV Findings'!J218,"")</f>
        <v/>
      </c>
      <c r="E142" s="786"/>
      <c r="F142" s="787"/>
      <c r="G142" s="293"/>
      <c r="Q142" s="49"/>
      <c r="R142" s="49"/>
      <c r="S142" s="49"/>
      <c r="T142" s="49"/>
      <c r="U142" s="49"/>
      <c r="V142" s="49"/>
      <c r="W142" s="49"/>
    </row>
    <row r="143" spans="2:23" s="2" customFormat="1" ht="42" customHeight="1" x14ac:dyDescent="0.15">
      <c r="B143" s="783" t="str">
        <f>IF('SV Findings'!G219="Not Met", 'SV Findings'!Q219,"")</f>
        <v/>
      </c>
      <c r="C143" s="784"/>
      <c r="D143" s="785" t="str">
        <f>IF('SV Findings'!G219="Not Met", 'SV Findings'!J219,"")</f>
        <v/>
      </c>
      <c r="E143" s="786"/>
      <c r="F143" s="787"/>
      <c r="G143" s="293"/>
      <c r="Q143" s="49"/>
      <c r="R143" s="49"/>
      <c r="S143" s="49"/>
      <c r="T143" s="49"/>
      <c r="U143" s="49"/>
      <c r="V143" s="49"/>
      <c r="W143" s="49"/>
    </row>
    <row r="144" spans="2:23" s="2" customFormat="1" ht="30" customHeight="1" x14ac:dyDescent="0.15">
      <c r="B144" s="783" t="str">
        <f>IF('SV Findings'!G220="Not Met", 'SV Findings'!Q221,"")</f>
        <v/>
      </c>
      <c r="C144" s="784"/>
      <c r="D144" s="785" t="str">
        <f>IF('SV Findings'!G220="Not Met", 'SV Findings'!J220,"")</f>
        <v/>
      </c>
      <c r="E144" s="786"/>
      <c r="F144" s="787"/>
      <c r="G144" s="293"/>
      <c r="Q144" s="49"/>
      <c r="R144" s="49"/>
      <c r="S144" s="49"/>
      <c r="T144" s="49"/>
      <c r="U144" s="49"/>
      <c r="V144" s="49"/>
      <c r="W144" s="49"/>
    </row>
    <row r="145" spans="2:23" s="2" customFormat="1" ht="30" customHeight="1" x14ac:dyDescent="0.15">
      <c r="B145" s="783" t="str">
        <f>IF('SV Findings'!G224="Not Met", 'SV Findings'!Q224,"")</f>
        <v/>
      </c>
      <c r="C145" s="784"/>
      <c r="D145" s="785" t="str">
        <f>IF('SV Findings'!G224="Not Met", 'SV Findings'!J224,"")</f>
        <v/>
      </c>
      <c r="E145" s="786"/>
      <c r="F145" s="787"/>
      <c r="G145" s="293"/>
      <c r="Q145" s="49"/>
      <c r="R145" s="49"/>
      <c r="S145" s="49"/>
      <c r="T145" s="49"/>
      <c r="U145" s="49"/>
      <c r="V145" s="49"/>
      <c r="W145" s="49"/>
    </row>
    <row r="146" spans="2:23" s="2" customFormat="1" ht="42" customHeight="1" x14ac:dyDescent="0.15">
      <c r="B146" s="783" t="str">
        <f>IF('SV Findings'!G227="Not Met", 'SV Findings'!Q227,"")</f>
        <v/>
      </c>
      <c r="C146" s="784"/>
      <c r="D146" s="785" t="str">
        <f>IF('SV Findings'!G227="Not Met", 'SV Findings'!J227,"")</f>
        <v/>
      </c>
      <c r="E146" s="786"/>
      <c r="F146" s="787"/>
      <c r="G146" s="293"/>
      <c r="Q146" s="49"/>
      <c r="R146" s="49"/>
      <c r="S146" s="49"/>
      <c r="T146" s="49"/>
      <c r="U146" s="49"/>
      <c r="V146" s="49"/>
      <c r="W146" s="49"/>
    </row>
    <row r="147" spans="2:23" s="2" customFormat="1" ht="42" customHeight="1" x14ac:dyDescent="0.15">
      <c r="B147" s="783" t="str">
        <f>IF('SV Findings'!G228="Not Met", 'SV Findings'!Q228,"")</f>
        <v/>
      </c>
      <c r="C147" s="784"/>
      <c r="D147" s="785" t="str">
        <f>IF('SV Findings'!G228="Not Met", 'SV Findings'!J228,"")</f>
        <v/>
      </c>
      <c r="E147" s="786"/>
      <c r="F147" s="787"/>
      <c r="G147" s="293"/>
      <c r="Q147" s="49"/>
      <c r="R147" s="49"/>
      <c r="S147" s="49"/>
      <c r="T147" s="49"/>
      <c r="U147" s="49"/>
      <c r="V147" s="49"/>
      <c r="W147" s="49"/>
    </row>
    <row r="148" spans="2:23" s="2" customFormat="1" ht="42" customHeight="1" x14ac:dyDescent="0.15">
      <c r="B148" s="783" t="str">
        <f>IF('SV Findings'!G229="Not Met", 'SV Findings'!Q229,"")</f>
        <v/>
      </c>
      <c r="C148" s="784"/>
      <c r="D148" s="785" t="str">
        <f>IF('SV Findings'!G229="Not Met", 'SV Findings'!J229,"")</f>
        <v/>
      </c>
      <c r="E148" s="786"/>
      <c r="F148" s="787"/>
      <c r="G148" s="293"/>
      <c r="Q148" s="49"/>
      <c r="R148" s="49"/>
      <c r="S148" s="49"/>
      <c r="T148" s="49"/>
      <c r="U148" s="49"/>
      <c r="V148" s="49"/>
      <c r="W148" s="49"/>
    </row>
    <row r="149" spans="2:23" s="2" customFormat="1" ht="30" customHeight="1" x14ac:dyDescent="0.15">
      <c r="B149" s="783" t="str">
        <f>IF('SV Findings'!G230="Not Met", 'SV Findings'!Q230,"")</f>
        <v/>
      </c>
      <c r="C149" s="784"/>
      <c r="D149" s="785" t="str">
        <f>IF('SV Findings'!G230="Not Met", 'SV Findings'!J230,"")</f>
        <v/>
      </c>
      <c r="E149" s="786"/>
      <c r="F149" s="787"/>
      <c r="G149" s="293"/>
      <c r="Q149" s="49"/>
      <c r="R149" s="49"/>
      <c r="S149" s="49"/>
      <c r="T149" s="49"/>
      <c r="U149" s="49"/>
      <c r="V149" s="49"/>
      <c r="W149" s="49"/>
    </row>
    <row r="150" spans="2:23" s="2" customFormat="1" ht="30" customHeight="1" x14ac:dyDescent="0.15">
      <c r="B150" s="783" t="str">
        <f>IF('SV Findings'!G231="Not Met", 'SV Findings'!Q231,"")</f>
        <v/>
      </c>
      <c r="C150" s="784"/>
      <c r="D150" s="785" t="str">
        <f>IF('SV Findings'!G231="Not Met", 'SV Findings'!J231,"")</f>
        <v/>
      </c>
      <c r="E150" s="786"/>
      <c r="F150" s="787"/>
      <c r="G150" s="293"/>
      <c r="Q150" s="49"/>
      <c r="R150" s="49"/>
      <c r="S150" s="49"/>
      <c r="T150" s="49"/>
      <c r="U150" s="49"/>
      <c r="V150" s="49"/>
      <c r="W150" s="49"/>
    </row>
    <row r="151" spans="2:23" s="2" customFormat="1" ht="30" customHeight="1" x14ac:dyDescent="0.15">
      <c r="B151" s="783" t="str">
        <f>IF('SV Findings'!G232="Not Met", 'SV Findings'!Q232,"")</f>
        <v/>
      </c>
      <c r="C151" s="784"/>
      <c r="D151" s="785" t="str">
        <f>IF('SV Findings'!G232="Not Met", 'SV Findings'!J232,"")</f>
        <v/>
      </c>
      <c r="E151" s="786"/>
      <c r="F151" s="787"/>
      <c r="G151" s="293"/>
      <c r="Q151" s="49"/>
      <c r="R151" s="49"/>
      <c r="S151" s="49"/>
      <c r="T151" s="49"/>
      <c r="U151" s="49"/>
      <c r="V151" s="49"/>
      <c r="W151" s="49"/>
    </row>
    <row r="152" spans="2:23" s="2" customFormat="1" ht="30" customHeight="1" x14ac:dyDescent="0.15">
      <c r="B152" s="783" t="str">
        <f>IF('SV Findings'!G237="Not Met", 'SV Findings'!Q237,"")</f>
        <v/>
      </c>
      <c r="C152" s="784"/>
      <c r="D152" s="785" t="str">
        <f>IF('SV Findings'!G237="Not Met", 'SV Findings'!J237,"")</f>
        <v/>
      </c>
      <c r="E152" s="786"/>
      <c r="F152" s="787"/>
      <c r="G152" s="293"/>
      <c r="Q152" s="49"/>
      <c r="R152" s="49"/>
      <c r="S152" s="49"/>
      <c r="T152" s="49"/>
      <c r="U152" s="49"/>
      <c r="V152" s="49"/>
      <c r="W152" s="49"/>
    </row>
    <row r="153" spans="2:23" s="2" customFormat="1" ht="30" customHeight="1" x14ac:dyDescent="0.15">
      <c r="B153" s="783" t="str">
        <f>IF('SV Findings'!G240="Not Met", 'SV Findings'!Q240,"")</f>
        <v/>
      </c>
      <c r="C153" s="784"/>
      <c r="D153" s="785" t="str">
        <f>IF('SV Findings'!G240="Not Met", 'SV Findings'!J240,"")</f>
        <v/>
      </c>
      <c r="E153" s="786"/>
      <c r="F153" s="787"/>
      <c r="G153" s="293"/>
      <c r="Q153" s="49"/>
      <c r="R153" s="49"/>
      <c r="S153" s="49"/>
      <c r="T153" s="49"/>
      <c r="U153" s="49"/>
      <c r="V153" s="49"/>
      <c r="W153" s="49"/>
    </row>
    <row r="154" spans="2:23" s="2" customFormat="1" ht="30" customHeight="1" x14ac:dyDescent="0.15">
      <c r="B154" s="783" t="str">
        <f>IF('SV Findings'!G241="Not Met", 'SV Findings'!Q241,"")</f>
        <v/>
      </c>
      <c r="C154" s="784"/>
      <c r="D154" s="785" t="str">
        <f>IF('SV Findings'!G241="Not Met", 'SV Findings'!J241,"")</f>
        <v/>
      </c>
      <c r="E154" s="786"/>
      <c r="F154" s="787"/>
      <c r="G154" s="293"/>
      <c r="Q154" s="49"/>
      <c r="R154" s="49"/>
      <c r="S154" s="49"/>
      <c r="T154" s="49"/>
      <c r="U154" s="49"/>
      <c r="V154" s="49"/>
      <c r="W154" s="49"/>
    </row>
    <row r="155" spans="2:23" s="2" customFormat="1" ht="30" customHeight="1" x14ac:dyDescent="0.15">
      <c r="B155" s="783" t="str">
        <f>IF('SV Findings'!G242="Not Met", 'SV Findings'!Q242,"")</f>
        <v/>
      </c>
      <c r="C155" s="784"/>
      <c r="D155" s="785" t="str">
        <f>IF('SV Findings'!G242="Not Met", 'SV Findings'!J242,"")</f>
        <v/>
      </c>
      <c r="E155" s="786"/>
      <c r="F155" s="787"/>
      <c r="G155" s="293"/>
      <c r="Q155" s="49"/>
      <c r="R155" s="49"/>
      <c r="S155" s="49"/>
      <c r="T155" s="49"/>
      <c r="U155" s="49"/>
      <c r="V155" s="49"/>
      <c r="W155" s="49"/>
    </row>
    <row r="156" spans="2:23" s="2" customFormat="1" ht="30" customHeight="1" x14ac:dyDescent="0.15">
      <c r="B156" s="783" t="str">
        <f>IF('SV Findings'!G243="Not Met", 'SV Findings'!Q243,"")</f>
        <v/>
      </c>
      <c r="C156" s="784"/>
      <c r="D156" s="785" t="str">
        <f>IF('SV Findings'!G243="Not Met", 'SV Findings'!J243,"")</f>
        <v/>
      </c>
      <c r="E156" s="786"/>
      <c r="F156" s="787"/>
      <c r="G156" s="293"/>
      <c r="Q156" s="49"/>
      <c r="R156" s="49"/>
      <c r="S156" s="49"/>
      <c r="T156" s="49"/>
      <c r="U156" s="49"/>
      <c r="V156" s="49"/>
      <c r="W156" s="49"/>
    </row>
    <row r="157" spans="2:23" s="2" customFormat="1" ht="30" customHeight="1" x14ac:dyDescent="0.15">
      <c r="B157" s="783" t="str">
        <f>IF('SV Findings'!G247="Not Met", 'SV Findings'!Q247,"")</f>
        <v/>
      </c>
      <c r="C157" s="784"/>
      <c r="D157" s="785" t="str">
        <f>IF('SV Findings'!G247="Not Met", 'SV Findings'!J247,"")</f>
        <v/>
      </c>
      <c r="E157" s="786"/>
      <c r="F157" s="787"/>
      <c r="G157" s="293"/>
      <c r="Q157" s="49"/>
      <c r="R157" s="49"/>
      <c r="S157" s="49"/>
      <c r="T157" s="49"/>
      <c r="U157" s="49"/>
      <c r="V157" s="49"/>
      <c r="W157" s="49"/>
    </row>
    <row r="158" spans="2:23" s="2" customFormat="1" ht="30" customHeight="1" x14ac:dyDescent="0.15">
      <c r="B158" s="783" t="str">
        <f>IF('SV Findings'!G248="Not Met", 'SV Findings'!Q249,"")</f>
        <v/>
      </c>
      <c r="C158" s="784"/>
      <c r="D158" s="785" t="str">
        <f>IF('SV Findings'!G248="Not Met", 'SV Findings'!J248,"")</f>
        <v/>
      </c>
      <c r="E158" s="786"/>
      <c r="F158" s="787"/>
      <c r="G158" s="293"/>
      <c r="Q158" s="49"/>
      <c r="R158" s="49"/>
      <c r="S158" s="49"/>
      <c r="T158" s="49"/>
      <c r="U158" s="49"/>
      <c r="V158" s="49"/>
      <c r="W158" s="49"/>
    </row>
    <row r="159" spans="2:23" s="2" customFormat="1" ht="30" customHeight="1" x14ac:dyDescent="0.15">
      <c r="B159" s="783" t="str">
        <f>IF('SV Findings'!G252="Not Met", 'SV Findings'!Q253,"")</f>
        <v/>
      </c>
      <c r="C159" s="784"/>
      <c r="D159" s="785" t="str">
        <f>IF('SV Findings'!G252="Not Met", 'SV Findings'!J252,"")</f>
        <v/>
      </c>
      <c r="E159" s="786"/>
      <c r="F159" s="787"/>
      <c r="G159" s="293"/>
      <c r="Q159" s="49"/>
      <c r="R159" s="49"/>
      <c r="S159" s="49"/>
      <c r="T159" s="49"/>
      <c r="U159" s="49"/>
      <c r="V159" s="49"/>
      <c r="W159" s="49"/>
    </row>
    <row r="160" spans="2:23" s="2" customFormat="1" ht="30" customHeight="1" x14ac:dyDescent="0.15">
      <c r="B160" s="783" t="str">
        <f>IF('SV Findings'!G255="Not Met", 'SV Findings'!Q256,"")</f>
        <v/>
      </c>
      <c r="C160" s="784"/>
      <c r="D160" s="785" t="str">
        <f>IF('SV Findings'!G255="Not Met", 'SV Findings'!J255,"")</f>
        <v/>
      </c>
      <c r="E160" s="786"/>
      <c r="F160" s="787"/>
      <c r="G160" s="293"/>
      <c r="Q160" s="49"/>
      <c r="R160" s="49"/>
      <c r="S160" s="49"/>
      <c r="T160" s="49"/>
      <c r="U160" s="49"/>
      <c r="V160" s="49"/>
      <c r="W160" s="49"/>
    </row>
    <row r="161" spans="2:23" s="2" customFormat="1" ht="30" customHeight="1" x14ac:dyDescent="0.15">
      <c r="B161" s="783" t="str">
        <f>IF('SV Findings'!G257="Not Met", 'SV Findings'!Q258,"")</f>
        <v/>
      </c>
      <c r="C161" s="784"/>
      <c r="D161" s="785" t="str">
        <f>IF('SV Findings'!G257="Not Met", 'SV Findings'!J257,"")</f>
        <v/>
      </c>
      <c r="E161" s="786"/>
      <c r="F161" s="787"/>
      <c r="G161" s="293"/>
      <c r="R161" s="49"/>
      <c r="S161" s="49"/>
      <c r="T161" s="49"/>
      <c r="U161" s="49"/>
      <c r="V161" s="49"/>
      <c r="W161" s="49"/>
    </row>
    <row r="162" spans="2:23" s="2" customFormat="1" ht="30" customHeight="1" x14ac:dyDescent="0.15">
      <c r="B162" s="783" t="str">
        <f>IF('SV Findings'!G261="Not Met", 'SV Findings'!Q262,"")</f>
        <v/>
      </c>
      <c r="C162" s="784"/>
      <c r="D162" s="785" t="str">
        <f>IF('SV Findings'!G261="Not Met", 'SV Findings'!J261,"")</f>
        <v/>
      </c>
      <c r="E162" s="786"/>
      <c r="F162" s="787"/>
      <c r="G162" s="293"/>
      <c r="R162" s="49"/>
      <c r="S162" s="49"/>
      <c r="T162" s="49"/>
      <c r="U162" s="49"/>
      <c r="V162" s="49"/>
      <c r="W162" s="49"/>
    </row>
    <row r="163" spans="2:23" s="2" customFormat="1" ht="30" customHeight="1" x14ac:dyDescent="0.15">
      <c r="B163" s="783" t="str">
        <f>IF('SV Findings'!G267="Not Met", 'SV Findings'!Q267,"")</f>
        <v/>
      </c>
      <c r="C163" s="784"/>
      <c r="D163" s="785" t="str">
        <f>IF('SV Findings'!G267="Not Met", 'SV Findings'!J267,"")</f>
        <v/>
      </c>
      <c r="E163" s="786"/>
      <c r="F163" s="787"/>
      <c r="G163" s="293"/>
      <c r="R163" s="49"/>
      <c r="S163" s="49"/>
      <c r="T163" s="49"/>
      <c r="U163" s="49"/>
      <c r="V163" s="49"/>
      <c r="W163" s="49"/>
    </row>
    <row r="164" spans="2:23" s="2" customFormat="1" ht="30" customHeight="1" x14ac:dyDescent="0.15">
      <c r="B164" s="783" t="str">
        <f>IF('SV Findings'!G268="Not Met", 'SV Findings'!Q268,"")</f>
        <v/>
      </c>
      <c r="C164" s="784"/>
      <c r="D164" s="785" t="str">
        <f>IF('SV Findings'!G268="Not Met", 'SV Findings'!J268,"")</f>
        <v/>
      </c>
      <c r="E164" s="786"/>
      <c r="F164" s="787"/>
      <c r="G164" s="293"/>
      <c r="Q164" s="49"/>
      <c r="R164" s="49"/>
      <c r="S164" s="49"/>
      <c r="T164" s="49"/>
      <c r="U164" s="49"/>
      <c r="V164" s="49"/>
      <c r="W164" s="49"/>
    </row>
    <row r="165" spans="2:23" s="2" customFormat="1" ht="30" customHeight="1" x14ac:dyDescent="0.15">
      <c r="B165" s="783" t="str">
        <f>IF('SV Findings'!G269="Not Met", 'SV Findings'!Q269,"")</f>
        <v/>
      </c>
      <c r="C165" s="784"/>
      <c r="D165" s="785" t="str">
        <f>IF('SV Findings'!G269="Not Met", 'SV Findings'!J269,"")</f>
        <v/>
      </c>
      <c r="E165" s="786"/>
      <c r="F165" s="787"/>
      <c r="G165" s="293"/>
      <c r="Q165" s="49"/>
      <c r="R165" s="49"/>
      <c r="S165" s="49"/>
      <c r="T165" s="49"/>
      <c r="U165" s="49"/>
      <c r="V165" s="49"/>
      <c r="W165" s="49"/>
    </row>
    <row r="166" spans="2:23" s="2" customFormat="1" ht="30" customHeight="1" x14ac:dyDescent="0.15">
      <c r="B166" s="783" t="str">
        <f>IF('SV Findings'!G270="Not Met", 'SV Findings'!Q270,"")</f>
        <v/>
      </c>
      <c r="C166" s="784"/>
      <c r="D166" s="785" t="str">
        <f>IF('SV Findings'!G270="Not Met", 'SV Findings'!J270,"")</f>
        <v/>
      </c>
      <c r="E166" s="786"/>
      <c r="F166" s="787"/>
      <c r="G166" s="293"/>
      <c r="Q166" s="49"/>
      <c r="R166" s="49"/>
      <c r="S166" s="49"/>
      <c r="T166" s="49"/>
      <c r="U166" s="49"/>
      <c r="V166" s="49"/>
      <c r="W166" s="49"/>
    </row>
    <row r="167" spans="2:23" s="2" customFormat="1" ht="30" customHeight="1" x14ac:dyDescent="0.15">
      <c r="B167" s="783" t="str">
        <f>IF('SV Findings'!G271="Not Met", 'SV Findings'!Q271,"")</f>
        <v/>
      </c>
      <c r="C167" s="784"/>
      <c r="D167" s="785" t="str">
        <f>IF('SV Findings'!G271="Not Met", 'SV Findings'!J271,"")</f>
        <v/>
      </c>
      <c r="E167" s="786"/>
      <c r="F167" s="787"/>
      <c r="G167" s="293"/>
      <c r="Q167" s="49"/>
      <c r="R167" s="49"/>
      <c r="S167" s="49"/>
      <c r="T167" s="49"/>
      <c r="U167" s="49"/>
      <c r="V167" s="49"/>
      <c r="W167" s="49"/>
    </row>
    <row r="168" spans="2:23" s="2" customFormat="1" ht="30" customHeight="1" x14ac:dyDescent="0.15">
      <c r="B168" s="783" t="str">
        <f>IF('SV Findings'!G272="Not Met", 'SV Findings'!Q272,"")</f>
        <v/>
      </c>
      <c r="C168" s="784"/>
      <c r="D168" s="785" t="str">
        <f>IF('SV Findings'!G272="Not Met", 'SV Findings'!J272,"")</f>
        <v/>
      </c>
      <c r="E168" s="786"/>
      <c r="F168" s="787"/>
      <c r="G168" s="293"/>
      <c r="Q168" s="49"/>
      <c r="R168" s="49"/>
      <c r="S168" s="49"/>
      <c r="T168" s="49"/>
      <c r="U168" s="49"/>
      <c r="V168" s="49"/>
      <c r="W168" s="49"/>
    </row>
    <row r="169" spans="2:23" s="2" customFormat="1" ht="30" customHeight="1" x14ac:dyDescent="0.15">
      <c r="B169" s="783" t="str">
        <f>IF('SV Findings'!G273="Not Met", 'SV Findings'!Q273,"")</f>
        <v/>
      </c>
      <c r="C169" s="784"/>
      <c r="D169" s="785" t="str">
        <f>IF('SV Findings'!G273="Not Met", 'SV Findings'!J273,"")</f>
        <v/>
      </c>
      <c r="E169" s="786"/>
      <c r="F169" s="787"/>
      <c r="G169" s="293"/>
      <c r="Q169" s="49"/>
      <c r="R169" s="49"/>
      <c r="S169" s="49"/>
      <c r="T169" s="49"/>
      <c r="U169" s="49"/>
      <c r="V169" s="49"/>
      <c r="W169" s="49"/>
    </row>
    <row r="170" spans="2:23" s="2" customFormat="1" ht="30" customHeight="1" x14ac:dyDescent="0.15">
      <c r="B170" s="783" t="str">
        <f>IF('SV Findings'!G274="Not Met", 'SV Findings'!Q274,"")</f>
        <v/>
      </c>
      <c r="C170" s="784"/>
      <c r="D170" s="785" t="str">
        <f>IF('SV Findings'!G274="Not Met", 'SV Findings'!J274,"")</f>
        <v/>
      </c>
      <c r="E170" s="786"/>
      <c r="F170" s="787"/>
      <c r="G170" s="293"/>
      <c r="Q170" s="49"/>
      <c r="R170" s="49"/>
      <c r="S170" s="49"/>
      <c r="T170" s="49"/>
      <c r="U170" s="49"/>
      <c r="V170" s="49"/>
      <c r="W170" s="49"/>
    </row>
    <row r="171" spans="2:23" s="2" customFormat="1" ht="30" customHeight="1" x14ac:dyDescent="0.15">
      <c r="B171" s="783" t="str">
        <f>IF('SV Findings'!G275="Not Met", 'SV Findings'!Q275,"")</f>
        <v/>
      </c>
      <c r="C171" s="784"/>
      <c r="D171" s="785" t="str">
        <f>IF('SV Findings'!G275="Not Met", 'SV Findings'!J275,"")</f>
        <v/>
      </c>
      <c r="E171" s="786"/>
      <c r="F171" s="787"/>
      <c r="G171" s="293"/>
      <c r="Q171" s="49"/>
      <c r="R171" s="49"/>
      <c r="S171" s="49"/>
      <c r="T171" s="49"/>
      <c r="U171" s="49"/>
      <c r="V171" s="49"/>
      <c r="W171" s="49"/>
    </row>
    <row r="172" spans="2:23" s="2" customFormat="1" ht="30" customHeight="1" x14ac:dyDescent="0.15">
      <c r="B172" s="783" t="str">
        <f>IF('SV Findings'!G276="Not Met", 'SV Findings'!Q276,"")</f>
        <v/>
      </c>
      <c r="C172" s="784"/>
      <c r="D172" s="785" t="str">
        <f>IF('SV Findings'!G276="Not Met", 'SV Findings'!J276,"")</f>
        <v/>
      </c>
      <c r="E172" s="786"/>
      <c r="F172" s="787"/>
      <c r="G172" s="293"/>
      <c r="Q172" s="49"/>
      <c r="R172" s="49"/>
      <c r="S172" s="49"/>
      <c r="T172" s="49"/>
      <c r="U172" s="49"/>
      <c r="V172" s="49"/>
      <c r="W172" s="49"/>
    </row>
    <row r="173" spans="2:23" s="2" customFormat="1" ht="30" customHeight="1" x14ac:dyDescent="0.15">
      <c r="B173" s="783" t="str">
        <f>IF('SV Findings'!G277="Not Met", 'SV Findings'!Q277,"")</f>
        <v/>
      </c>
      <c r="C173" s="784"/>
      <c r="D173" s="785" t="str">
        <f>IF('SV Findings'!G277="Not Met", 'SV Findings'!J277,"")</f>
        <v/>
      </c>
      <c r="E173" s="786"/>
      <c r="F173" s="787"/>
      <c r="G173" s="293"/>
      <c r="Q173" s="49"/>
      <c r="R173" s="49"/>
      <c r="S173" s="49"/>
      <c r="T173" s="49"/>
      <c r="U173" s="49"/>
      <c r="V173" s="49"/>
      <c r="W173" s="49"/>
    </row>
    <row r="174" spans="2:23" s="2" customFormat="1" ht="30" customHeight="1" x14ac:dyDescent="0.15">
      <c r="B174" s="783" t="str">
        <f>IF('SV Findings'!G278="Not Met", 'SV Findings'!Q278,"")</f>
        <v/>
      </c>
      <c r="C174" s="784"/>
      <c r="D174" s="785" t="str">
        <f>IF('SV Findings'!G278="Not Met", 'SV Findings'!J278,"")</f>
        <v/>
      </c>
      <c r="E174" s="786"/>
      <c r="F174" s="787"/>
      <c r="G174" s="293"/>
      <c r="Q174" s="49"/>
      <c r="R174" s="49"/>
      <c r="S174" s="49"/>
      <c r="T174" s="49"/>
      <c r="U174" s="49"/>
      <c r="V174" s="49"/>
      <c r="W174" s="49"/>
    </row>
    <row r="175" spans="2:23" s="2" customFormat="1" ht="30" customHeight="1" x14ac:dyDescent="0.15">
      <c r="B175" s="783" t="str">
        <f>IF('SV Findings'!G279="Not Met", 'SV Findings'!Q279,"")</f>
        <v/>
      </c>
      <c r="C175" s="784"/>
      <c r="D175" s="785" t="str">
        <f>IF('SV Findings'!G279="Not Met", 'SV Findings'!J279,"")</f>
        <v/>
      </c>
      <c r="E175" s="786"/>
      <c r="F175" s="787"/>
      <c r="G175" s="293"/>
      <c r="Q175" s="49"/>
      <c r="R175" s="49"/>
      <c r="S175" s="49"/>
      <c r="T175" s="49"/>
      <c r="U175" s="49"/>
      <c r="V175" s="49"/>
      <c r="W175" s="49"/>
    </row>
    <row r="176" spans="2:23" s="2" customFormat="1" ht="30" customHeight="1" x14ac:dyDescent="0.15">
      <c r="B176" s="783" t="str">
        <f>IF('SV Findings'!G280="Not Met", 'SV Findings'!Q280,"")</f>
        <v/>
      </c>
      <c r="C176" s="784"/>
      <c r="D176" s="785" t="str">
        <f>IF('SV Findings'!G280="Not Met", 'SV Findings'!J280,"")</f>
        <v/>
      </c>
      <c r="E176" s="786"/>
      <c r="F176" s="787"/>
      <c r="G176" s="293"/>
      <c r="Q176" s="49"/>
      <c r="R176" s="49"/>
      <c r="S176" s="49"/>
      <c r="T176" s="49"/>
      <c r="U176" s="49"/>
      <c r="V176" s="49"/>
      <c r="W176" s="49"/>
    </row>
    <row r="177" spans="2:23" s="2" customFormat="1" ht="30" customHeight="1" x14ac:dyDescent="0.15">
      <c r="B177" s="783" t="str">
        <f>IF('SV Findings'!G281="Not Met", 'SV Findings'!Q281,"")</f>
        <v/>
      </c>
      <c r="C177" s="784"/>
      <c r="D177" s="785" t="str">
        <f>IF('SV Findings'!G281="Not Met", 'SV Findings'!J281,"")</f>
        <v/>
      </c>
      <c r="E177" s="786"/>
      <c r="F177" s="787"/>
      <c r="G177" s="293"/>
      <c r="Q177" s="49"/>
      <c r="R177" s="49"/>
      <c r="S177" s="49"/>
      <c r="T177" s="49"/>
      <c r="U177" s="49"/>
      <c r="V177" s="49"/>
      <c r="W177" s="49"/>
    </row>
    <row r="178" spans="2:23" s="2" customFormat="1" ht="30" customHeight="1" x14ac:dyDescent="0.15">
      <c r="B178" s="783" t="str">
        <f>IF('SV Findings'!G282="Not Met", 'SV Findings'!Q282,"")</f>
        <v/>
      </c>
      <c r="C178" s="784"/>
      <c r="D178" s="785" t="str">
        <f>IF('SV Findings'!G282="Not Met", 'SV Findings'!J282,"")</f>
        <v/>
      </c>
      <c r="E178" s="786"/>
      <c r="F178" s="787"/>
      <c r="G178" s="293"/>
      <c r="Q178" s="49"/>
      <c r="R178" s="49"/>
      <c r="S178" s="49"/>
      <c r="T178" s="49"/>
      <c r="U178" s="49"/>
      <c r="V178" s="49"/>
      <c r="W178" s="49"/>
    </row>
    <row r="179" spans="2:23" s="2" customFormat="1" ht="30" customHeight="1" x14ac:dyDescent="0.15">
      <c r="B179" s="783" t="str">
        <f>IF('SV Findings'!G283="Not Met", 'SV Findings'!Q283,"")</f>
        <v/>
      </c>
      <c r="C179" s="784"/>
      <c r="D179" s="785" t="str">
        <f>IF('SV Findings'!G283="Not Met", 'SV Findings'!J283,"")</f>
        <v/>
      </c>
      <c r="E179" s="786"/>
      <c r="F179" s="787"/>
      <c r="G179" s="293"/>
      <c r="Q179" s="49"/>
      <c r="R179" s="49"/>
      <c r="S179" s="49"/>
      <c r="T179" s="49"/>
      <c r="U179" s="49"/>
      <c r="V179" s="49"/>
      <c r="W179" s="49"/>
    </row>
    <row r="180" spans="2:23" s="2" customFormat="1" ht="30" customHeight="1" x14ac:dyDescent="0.15">
      <c r="B180" s="783" t="str">
        <f>IF('SV Findings'!G285="Not Met", 'SV Findings'!Q285,"")</f>
        <v/>
      </c>
      <c r="C180" s="784"/>
      <c r="D180" s="785" t="str">
        <f>IF('SV Findings'!G285="Not Met", 'SV Findings'!J285,"")</f>
        <v/>
      </c>
      <c r="E180" s="786"/>
      <c r="F180" s="787"/>
      <c r="G180" s="293"/>
      <c r="Q180" s="49"/>
      <c r="R180" s="49"/>
      <c r="S180" s="49"/>
      <c r="T180" s="49"/>
      <c r="U180" s="49"/>
      <c r="V180" s="49"/>
      <c r="W180" s="49"/>
    </row>
    <row r="181" spans="2:23" s="2" customFormat="1" ht="30" customHeight="1" x14ac:dyDescent="0.15">
      <c r="B181" s="783" t="str">
        <f>IF('SV Findings'!G286="Not Met", 'SV Findings'!Q286,"")</f>
        <v/>
      </c>
      <c r="C181" s="784"/>
      <c r="D181" s="785" t="str">
        <f>IF('SV Findings'!G286="Not Met", 'SV Findings'!J286,"")</f>
        <v/>
      </c>
      <c r="E181" s="786"/>
      <c r="F181" s="787"/>
      <c r="G181" s="293"/>
      <c r="Q181" s="49"/>
      <c r="R181" s="49"/>
      <c r="S181" s="49"/>
      <c r="T181" s="49"/>
      <c r="U181" s="49"/>
      <c r="V181" s="49"/>
      <c r="W181" s="49"/>
    </row>
    <row r="182" spans="2:23" s="2" customFormat="1" ht="30" customHeight="1" x14ac:dyDescent="0.15">
      <c r="B182" s="783" t="str">
        <f>IF('SV Findings'!G287="Not Met", 'SV Findings'!Q287,"")</f>
        <v/>
      </c>
      <c r="C182" s="784"/>
      <c r="D182" s="785" t="str">
        <f>IF('SV Findings'!G287="Not Met", 'SV Findings'!J287,"")</f>
        <v/>
      </c>
      <c r="E182" s="786"/>
      <c r="F182" s="787"/>
      <c r="G182" s="293"/>
      <c r="Q182" s="49"/>
      <c r="R182" s="49"/>
      <c r="S182" s="49"/>
      <c r="T182" s="49"/>
      <c r="U182" s="49"/>
      <c r="V182" s="49"/>
      <c r="W182" s="49"/>
    </row>
    <row r="183" spans="2:23" s="2" customFormat="1" ht="30" customHeight="1" x14ac:dyDescent="0.15">
      <c r="B183" s="783" t="str">
        <f>IF('SV Findings'!G288="Not Met", 'SV Findings'!Q288,"")</f>
        <v/>
      </c>
      <c r="C183" s="784"/>
      <c r="D183" s="785" t="str">
        <f>IF('SV Findings'!G288="Not Met", 'SV Findings'!J288,"")</f>
        <v/>
      </c>
      <c r="E183" s="786"/>
      <c r="F183" s="787"/>
      <c r="G183" s="293"/>
      <c r="Q183" s="49"/>
      <c r="R183" s="49"/>
      <c r="S183" s="49"/>
      <c r="T183" s="49"/>
      <c r="U183" s="49"/>
      <c r="V183" s="49"/>
      <c r="W183" s="49"/>
    </row>
    <row r="184" spans="2:23" s="2" customFormat="1" ht="30" customHeight="1" x14ac:dyDescent="0.15">
      <c r="B184" s="783" t="str">
        <f>IF('SV Findings'!G289="Not Met", 'SV Findings'!Q289,"")</f>
        <v/>
      </c>
      <c r="C184" s="784"/>
      <c r="D184" s="785" t="str">
        <f>IF('SV Findings'!G289="Not Met", 'SV Findings'!J289,"")</f>
        <v/>
      </c>
      <c r="E184" s="786"/>
      <c r="F184" s="787"/>
      <c r="G184" s="293"/>
      <c r="Q184" s="49"/>
      <c r="R184" s="49"/>
      <c r="S184" s="49"/>
      <c r="T184" s="49"/>
      <c r="U184" s="49"/>
      <c r="V184" s="49"/>
      <c r="W184" s="49"/>
    </row>
    <row r="185" spans="2:23" s="2" customFormat="1" ht="30" customHeight="1" x14ac:dyDescent="0.15">
      <c r="B185" s="783" t="str">
        <f>IF('SV Findings'!G291="Not Met", 'SV Findings'!Q291,"")</f>
        <v/>
      </c>
      <c r="C185" s="784"/>
      <c r="D185" s="785" t="str">
        <f>IF('SV Findings'!G291="Not Met", 'SV Findings'!J291,"")</f>
        <v/>
      </c>
      <c r="E185" s="786"/>
      <c r="F185" s="787"/>
      <c r="G185" s="293"/>
      <c r="Q185" s="49"/>
      <c r="R185" s="49"/>
      <c r="S185" s="49"/>
      <c r="T185" s="49"/>
      <c r="U185" s="49"/>
      <c r="V185" s="49"/>
      <c r="W185" s="49"/>
    </row>
    <row r="186" spans="2:23" s="2" customFormat="1" ht="30" customHeight="1" x14ac:dyDescent="0.15">
      <c r="B186" s="783" t="str">
        <f>IF('SV Findings'!G294="Not Met", 'SV Findings'!Q294,"")</f>
        <v/>
      </c>
      <c r="C186" s="784"/>
      <c r="D186" s="785" t="str">
        <f>IF('SV Findings'!G294="Not Met", 'SV Findings'!J294,"")</f>
        <v/>
      </c>
      <c r="E186" s="786"/>
      <c r="F186" s="787"/>
      <c r="G186" s="293"/>
      <c r="R186" s="49"/>
      <c r="S186" s="49"/>
      <c r="T186" s="49"/>
      <c r="U186" s="49"/>
      <c r="V186" s="49"/>
      <c r="W186" s="49"/>
    </row>
    <row r="187" spans="2:23" s="2" customFormat="1" ht="30" customHeight="1" x14ac:dyDescent="0.15">
      <c r="B187" s="783" t="str">
        <f>IF('SV Findings'!G296="Not Met", 'SV Findings'!Q296,"")</f>
        <v/>
      </c>
      <c r="C187" s="784"/>
      <c r="D187" s="785" t="str">
        <f>IF('SV Findings'!G296="Not Met", 'SV Findings'!J296,"")</f>
        <v/>
      </c>
      <c r="E187" s="786"/>
      <c r="F187" s="787"/>
      <c r="G187" s="293"/>
      <c r="R187" s="49"/>
      <c r="S187" s="49"/>
      <c r="T187" s="49"/>
      <c r="U187" s="49"/>
      <c r="V187" s="49"/>
      <c r="W187" s="49"/>
    </row>
    <row r="188" spans="2:23" s="2" customFormat="1" ht="30" customHeight="1" x14ac:dyDescent="0.15">
      <c r="B188" s="783" t="str">
        <f>IF('SV Findings'!G299="Not Met", 'SV Findings'!Q299,"")</f>
        <v/>
      </c>
      <c r="C188" s="784"/>
      <c r="D188" s="785" t="str">
        <f>IF('SV Findings'!G299="Not Met", 'SV Findings'!J299,"")</f>
        <v/>
      </c>
      <c r="E188" s="786"/>
      <c r="F188" s="787"/>
      <c r="G188" s="293"/>
      <c r="R188" s="49"/>
      <c r="S188" s="49"/>
      <c r="T188" s="49"/>
      <c r="U188" s="49"/>
      <c r="V188" s="49"/>
      <c r="W188" s="49"/>
    </row>
    <row r="189" spans="2:23" s="2" customFormat="1" ht="30" customHeight="1" x14ac:dyDescent="0.15">
      <c r="B189" s="783" t="str">
        <f>IF('SV Findings'!G301="Not Met", 'SV Findings'!Q301,"")</f>
        <v/>
      </c>
      <c r="C189" s="784"/>
      <c r="D189" s="785" t="str">
        <f>IF('SV Findings'!G301="Not Met", 'SV Findings'!J301,"")</f>
        <v/>
      </c>
      <c r="E189" s="786"/>
      <c r="F189" s="787"/>
      <c r="G189" s="293"/>
      <c r="R189" s="49"/>
      <c r="S189" s="49"/>
      <c r="T189" s="49"/>
      <c r="U189" s="49"/>
      <c r="V189" s="49"/>
      <c r="W189" s="49"/>
    </row>
    <row r="190" spans="2:23" s="2" customFormat="1" ht="30" customHeight="1" x14ac:dyDescent="0.15">
      <c r="B190" s="783" t="str">
        <f>IF('SV Findings'!G303="Not Met", 'SV Findings'!Q304,"")</f>
        <v/>
      </c>
      <c r="C190" s="784"/>
      <c r="D190" s="785" t="str">
        <f>IF('SV Findings'!G303="Not Met", 'SV Findings'!J303,"")</f>
        <v/>
      </c>
      <c r="E190" s="786"/>
      <c r="F190" s="787"/>
      <c r="G190" s="293"/>
      <c r="Q190" s="49"/>
      <c r="R190" s="49"/>
      <c r="S190" s="49"/>
      <c r="T190" s="49"/>
      <c r="U190" s="49"/>
      <c r="V190" s="49"/>
      <c r="W190" s="49"/>
    </row>
    <row r="191" spans="2:23" s="2" customFormat="1" ht="30" customHeight="1" x14ac:dyDescent="0.15">
      <c r="B191" s="783" t="str">
        <f>IF('SV Findings'!G305="Not Met", 'SV Findings'!Q305,"")</f>
        <v/>
      </c>
      <c r="C191" s="784"/>
      <c r="D191" s="785" t="str">
        <f>IF('SV Findings'!G305="Not Met", 'SV Findings'!J305,"")</f>
        <v/>
      </c>
      <c r="E191" s="786"/>
      <c r="F191" s="787"/>
      <c r="G191" s="293"/>
      <c r="Q191" s="49"/>
      <c r="R191" s="49"/>
      <c r="S191" s="49"/>
      <c r="T191" s="49"/>
      <c r="U191" s="49"/>
      <c r="V191" s="49"/>
      <c r="W191" s="49"/>
    </row>
    <row r="192" spans="2:23" s="2" customFormat="1" ht="30" customHeight="1" x14ac:dyDescent="0.15">
      <c r="B192" s="783" t="str">
        <f>IF('SV Findings'!G306="Not Met", 'SV Findings'!Q306,"")</f>
        <v/>
      </c>
      <c r="C192" s="784"/>
      <c r="D192" s="785" t="str">
        <f>IF('SV Findings'!G306="Not Met", 'SV Findings'!J306,"")</f>
        <v/>
      </c>
      <c r="E192" s="786"/>
      <c r="F192" s="787"/>
      <c r="G192" s="293"/>
      <c r="Q192" s="49"/>
      <c r="R192" s="49"/>
      <c r="S192" s="49"/>
      <c r="T192" s="49"/>
      <c r="U192" s="49"/>
      <c r="V192" s="49"/>
      <c r="W192" s="49"/>
    </row>
    <row r="193" spans="2:70" s="2" customFormat="1" ht="30" customHeight="1" x14ac:dyDescent="0.15">
      <c r="B193" s="783" t="str">
        <f>IF('SV Findings'!G307="Not Met", 'SV Findings'!Q307,"")</f>
        <v/>
      </c>
      <c r="C193" s="784"/>
      <c r="D193" s="785" t="str">
        <f>IF('SV Findings'!G307="Not Met", 'SV Findings'!J307,"")</f>
        <v/>
      </c>
      <c r="E193" s="786"/>
      <c r="F193" s="787"/>
      <c r="G193" s="293"/>
      <c r="Q193" s="49"/>
      <c r="R193" s="49"/>
      <c r="S193" s="49"/>
      <c r="T193" s="49"/>
      <c r="U193" s="49"/>
      <c r="V193" s="49"/>
      <c r="W193" s="49"/>
    </row>
    <row r="194" spans="2:70" s="2" customFormat="1" ht="30" customHeight="1" x14ac:dyDescent="0.15">
      <c r="B194" s="783" t="str">
        <f>IF('SV Findings'!G308="Not Met", 'SV Findings'!Q308,"")</f>
        <v/>
      </c>
      <c r="C194" s="784"/>
      <c r="D194" s="785" t="str">
        <f>IF('SV Findings'!G308="Not Met", 'SV Findings'!J308,"")</f>
        <v/>
      </c>
      <c r="E194" s="786"/>
      <c r="F194" s="787"/>
      <c r="G194" s="293"/>
      <c r="Q194" s="49"/>
      <c r="R194" s="49"/>
      <c r="S194" s="49"/>
      <c r="T194" s="49"/>
      <c r="U194" s="49"/>
      <c r="V194" s="49"/>
      <c r="W194" s="49"/>
    </row>
    <row r="195" spans="2:70" s="2" customFormat="1" ht="30" customHeight="1" x14ac:dyDescent="0.15">
      <c r="B195" s="783" t="str">
        <f>IF('SV Findings'!G310="Not Met", 'SV Findings'!Q310,"")</f>
        <v/>
      </c>
      <c r="C195" s="784"/>
      <c r="D195" s="785" t="str">
        <f>IF('SV Findings'!G310="Not Met", 'SV Findings'!J310,"")</f>
        <v/>
      </c>
      <c r="E195" s="786"/>
      <c r="F195" s="787"/>
      <c r="G195" s="293"/>
      <c r="Q195" s="49"/>
      <c r="R195" s="49"/>
      <c r="S195" s="49"/>
      <c r="T195" s="49"/>
      <c r="U195" s="49"/>
      <c r="V195" s="49"/>
      <c r="W195" s="49"/>
    </row>
    <row r="196" spans="2:70" s="2" customFormat="1" ht="30" customHeight="1" x14ac:dyDescent="0.15">
      <c r="B196" s="783" t="str">
        <f>IF('SV Findings'!G311="Not Met", 'SV Findings'!Q311,"")</f>
        <v/>
      </c>
      <c r="C196" s="784"/>
      <c r="D196" s="785" t="str">
        <f>IF('SV Findings'!G311="Not Met", 'SV Findings'!J311,"")</f>
        <v/>
      </c>
      <c r="E196" s="786"/>
      <c r="F196" s="787"/>
      <c r="G196" s="293"/>
      <c r="Q196" s="49"/>
      <c r="R196" s="49"/>
      <c r="S196" s="49"/>
      <c r="T196" s="49"/>
      <c r="U196" s="49"/>
      <c r="V196" s="49"/>
      <c r="W196" s="49"/>
    </row>
    <row r="197" spans="2:70" s="2" customFormat="1" ht="30" customHeight="1" x14ac:dyDescent="0.15">
      <c r="B197" s="783" t="str">
        <f>IF('SV Findings'!G312="Not Met", 'SV Findings'!Q312,"")</f>
        <v/>
      </c>
      <c r="C197" s="784"/>
      <c r="D197" s="785" t="str">
        <f>IF('SV Findings'!G312="Not Met", 'SV Findings'!J312,"")</f>
        <v/>
      </c>
      <c r="E197" s="786"/>
      <c r="F197" s="787"/>
      <c r="G197" s="293"/>
      <c r="Q197" s="49"/>
      <c r="R197" s="49"/>
      <c r="S197" s="49"/>
      <c r="T197" s="49"/>
      <c r="U197" s="49"/>
      <c r="V197" s="49"/>
      <c r="W197" s="49"/>
    </row>
    <row r="198" spans="2:70" s="2" customFormat="1" ht="30" customHeight="1" x14ac:dyDescent="0.15">
      <c r="B198" s="783" t="str">
        <f>IF('SV Findings'!G314="Not Met", 'SV Findings'!Q315,"")</f>
        <v/>
      </c>
      <c r="C198" s="784"/>
      <c r="D198" s="785" t="str">
        <f>IF('SV Findings'!G314="Not Met", 'SV Findings'!J314,"")</f>
        <v/>
      </c>
      <c r="E198" s="786"/>
      <c r="F198" s="787"/>
      <c r="G198" s="293"/>
      <c r="Q198" s="49"/>
      <c r="R198" s="49"/>
      <c r="S198" s="49"/>
      <c r="T198" s="49"/>
      <c r="U198" s="49"/>
      <c r="V198" s="49"/>
      <c r="W198" s="49"/>
    </row>
    <row r="199" spans="2:70" s="2" customFormat="1" ht="30" customHeight="1" x14ac:dyDescent="0.15">
      <c r="B199" s="783" t="str">
        <f>IF('SV Findings'!G320="Not Met", 'SV Findings'!Q321,"")</f>
        <v/>
      </c>
      <c r="C199" s="784"/>
      <c r="D199" s="785" t="str">
        <f>IF('SV Findings'!G320="Not Met", 'SV Findings'!J320,"")</f>
        <v/>
      </c>
      <c r="E199" s="786"/>
      <c r="F199" s="787"/>
      <c r="G199" s="293"/>
      <c r="R199" s="49"/>
      <c r="S199" s="49"/>
      <c r="T199" s="49"/>
      <c r="U199" s="49"/>
      <c r="V199" s="49"/>
      <c r="W199" s="49"/>
    </row>
    <row r="200" spans="2:70" s="2" customFormat="1" ht="30" customHeight="1" x14ac:dyDescent="0.15">
      <c r="B200" s="826"/>
      <c r="C200" s="827"/>
      <c r="D200" s="785"/>
      <c r="E200" s="786"/>
      <c r="F200" s="787"/>
      <c r="G200" s="293"/>
      <c r="R200" s="49"/>
      <c r="S200" s="49"/>
      <c r="T200" s="49"/>
      <c r="U200" s="49"/>
      <c r="V200" s="49"/>
      <c r="W200" s="49"/>
    </row>
    <row r="201" spans="2:70" s="2" customFormat="1" ht="30" customHeight="1" x14ac:dyDescent="0.15">
      <c r="B201" s="826"/>
      <c r="C201" s="827"/>
      <c r="D201" s="785"/>
      <c r="E201" s="786"/>
      <c r="F201" s="787"/>
      <c r="G201" s="293"/>
      <c r="R201" s="49"/>
      <c r="S201" s="49"/>
      <c r="T201" s="49"/>
      <c r="U201" s="49"/>
      <c r="V201" s="49"/>
      <c r="W201" s="49"/>
    </row>
    <row r="202" spans="2:70" s="2" customFormat="1" ht="30" customHeight="1" x14ac:dyDescent="0.15">
      <c r="B202" s="813"/>
      <c r="C202" s="814"/>
      <c r="D202" s="815"/>
      <c r="E202" s="816"/>
      <c r="F202" s="817"/>
      <c r="G202" s="294"/>
      <c r="R202" s="49"/>
      <c r="S202" s="49"/>
      <c r="T202" s="49"/>
      <c r="U202" s="49"/>
      <c r="V202" s="49"/>
      <c r="W202" s="49"/>
    </row>
    <row r="203" spans="2:70" ht="14.5" hidden="1" customHeight="1" x14ac:dyDescent="0.15">
      <c r="B203" s="818"/>
      <c r="C203" s="819"/>
      <c r="D203" s="819"/>
      <c r="E203" s="819"/>
      <c r="F203" s="819"/>
      <c r="G203" s="820"/>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row>
    <row r="204" spans="2:70" s="146" customFormat="1" ht="27" customHeight="1" x14ac:dyDescent="0.15">
      <c r="B204" s="797" t="str">
        <f>IF('Cover Page'!$D$8&lt;&gt;"Please Select",'Cover Page'!$D$8, "")</f>
        <v/>
      </c>
      <c r="C204" s="798"/>
      <c r="D204" s="798"/>
      <c r="E204" s="798"/>
      <c r="F204" s="798"/>
      <c r="G204" s="799"/>
      <c r="H204"/>
      <c r="I204"/>
      <c r="J204"/>
      <c r="K204"/>
      <c r="L204"/>
    </row>
    <row r="205" spans="2:70" ht="27.75" customHeight="1" x14ac:dyDescent="0.15">
      <c r="B205" s="870" t="s">
        <v>745</v>
      </c>
      <c r="C205" s="871"/>
      <c r="D205" s="871"/>
      <c r="E205" s="871"/>
      <c r="F205" s="871"/>
      <c r="G205" s="871"/>
      <c r="I205" s="872" t="s">
        <v>893</v>
      </c>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c r="AS205" s="58"/>
      <c r="AT205" s="58"/>
      <c r="AU205" s="58"/>
      <c r="AV205" s="58"/>
      <c r="AW205" s="58"/>
      <c r="AX205" s="58"/>
      <c r="AY205" s="58"/>
      <c r="AZ205" s="58"/>
      <c r="BA205" s="58"/>
      <c r="BB205" s="58"/>
      <c r="BC205" s="58"/>
      <c r="BD205" s="58"/>
      <c r="BE205" s="58"/>
      <c r="BF205" s="58"/>
      <c r="BG205" s="58"/>
      <c r="BH205" s="58"/>
      <c r="BI205" s="58"/>
      <c r="BJ205" s="58"/>
      <c r="BK205" s="58"/>
      <c r="BL205" s="58"/>
      <c r="BM205" s="58"/>
      <c r="BN205" s="58"/>
      <c r="BO205" s="58"/>
      <c r="BP205" s="58"/>
      <c r="BQ205" s="58"/>
      <c r="BR205" s="58"/>
    </row>
    <row r="206" spans="2:70" ht="49.5" customHeight="1" x14ac:dyDescent="0.15">
      <c r="B206" s="794" t="s">
        <v>897</v>
      </c>
      <c r="C206" s="795"/>
      <c r="D206" s="795"/>
      <c r="E206" s="795"/>
      <c r="F206" s="795"/>
      <c r="G206" s="796"/>
      <c r="I206" s="872"/>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8"/>
      <c r="BR206" s="58"/>
    </row>
    <row r="207" spans="2:70" s="2" customFormat="1" ht="17" x14ac:dyDescent="0.15">
      <c r="B207" s="217" t="s">
        <v>165</v>
      </c>
      <c r="C207" s="800"/>
      <c r="D207" s="800"/>
      <c r="E207" s="800"/>
      <c r="F207" s="800"/>
      <c r="G207" s="801"/>
      <c r="I207" s="53"/>
    </row>
    <row r="208" spans="2:70" s="2" customFormat="1" ht="17" x14ac:dyDescent="0.15">
      <c r="B208" s="217" t="s">
        <v>207</v>
      </c>
      <c r="C208" s="800"/>
      <c r="D208" s="800"/>
      <c r="E208" s="800"/>
      <c r="F208" s="800"/>
      <c r="G208" s="801"/>
      <c r="I208" s="53"/>
    </row>
    <row r="209" spans="1:16384" s="2" customFormat="1" ht="17" x14ac:dyDescent="0.15">
      <c r="B209" s="217" t="s">
        <v>166</v>
      </c>
      <c r="C209" s="800"/>
      <c r="D209" s="800"/>
      <c r="E209" s="800"/>
      <c r="F209" s="800"/>
      <c r="G209" s="801"/>
    </row>
    <row r="210" spans="1:16384" s="2" customFormat="1" ht="17" x14ac:dyDescent="0.15">
      <c r="B210" s="217" t="s">
        <v>167</v>
      </c>
      <c r="C210" s="800"/>
      <c r="D210" s="800"/>
      <c r="E210" s="800"/>
      <c r="F210" s="800"/>
      <c r="G210" s="801"/>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row>
    <row r="211" spans="1:16384" s="2" customFormat="1" ht="17" x14ac:dyDescent="0.15">
      <c r="B211" s="217" t="s">
        <v>168</v>
      </c>
      <c r="C211" s="800"/>
      <c r="D211" s="800"/>
      <c r="E211" s="800"/>
      <c r="F211" s="800"/>
      <c r="G211" s="80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row>
    <row r="212" spans="1:16384" s="2" customFormat="1" ht="17" x14ac:dyDescent="0.15">
      <c r="B212" s="217" t="s">
        <v>169</v>
      </c>
      <c r="C212" s="800"/>
      <c r="D212" s="800"/>
      <c r="E212" s="800"/>
      <c r="F212" s="800"/>
      <c r="G212" s="801"/>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row>
    <row r="213" spans="1:16384" s="2" customFormat="1" ht="17" x14ac:dyDescent="0.15">
      <c r="B213" s="217" t="s">
        <v>170</v>
      </c>
      <c r="C213" s="800"/>
      <c r="D213" s="800"/>
      <c r="E213" s="800"/>
      <c r="F213" s="800"/>
      <c r="G213" s="801"/>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row>
    <row r="214" spans="1:16384" s="2" customFormat="1" ht="17" x14ac:dyDescent="0.15">
      <c r="B214" s="217" t="s">
        <v>171</v>
      </c>
      <c r="C214" s="800"/>
      <c r="D214" s="800"/>
      <c r="E214" s="800"/>
      <c r="F214" s="800"/>
      <c r="G214" s="801"/>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row>
    <row r="215" spans="1:16384" s="2" customFormat="1" ht="17" x14ac:dyDescent="0.15">
      <c r="B215" s="217" t="s">
        <v>172</v>
      </c>
      <c r="C215" s="800"/>
      <c r="D215" s="800"/>
      <c r="E215" s="800"/>
      <c r="F215" s="800"/>
      <c r="G215" s="801"/>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row>
    <row r="216" spans="1:16384" s="2" customFormat="1" ht="17" x14ac:dyDescent="0.15">
      <c r="B216" s="217" t="s">
        <v>173</v>
      </c>
      <c r="C216" s="800"/>
      <c r="D216" s="800"/>
      <c r="E216" s="800"/>
      <c r="F216" s="800"/>
      <c r="G216" s="801"/>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row>
    <row r="217" spans="1:16384" s="2" customFormat="1" ht="17" x14ac:dyDescent="0.15">
      <c r="B217" s="217" t="s">
        <v>174</v>
      </c>
      <c r="C217" s="800"/>
      <c r="D217" s="800"/>
      <c r="E217" s="800"/>
      <c r="F217" s="800"/>
      <c r="G217" s="801"/>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row>
    <row r="218" spans="1:16384" s="2" customFormat="1" ht="17" x14ac:dyDescent="0.15">
      <c r="B218" s="217" t="s">
        <v>175</v>
      </c>
      <c r="C218" s="800"/>
      <c r="D218" s="800"/>
      <c r="E218" s="800"/>
      <c r="F218" s="800"/>
      <c r="G218" s="801"/>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row>
    <row r="219" spans="1:16384" s="2" customFormat="1" ht="17" x14ac:dyDescent="0.15">
      <c r="B219" s="217" t="s">
        <v>176</v>
      </c>
      <c r="C219" s="800"/>
      <c r="D219" s="800"/>
      <c r="E219" s="800"/>
      <c r="F219" s="800"/>
      <c r="G219" s="801"/>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row>
    <row r="220" spans="1:16384" s="2" customFormat="1" ht="17" x14ac:dyDescent="0.15">
      <c r="B220" s="217" t="s">
        <v>177</v>
      </c>
      <c r="C220" s="800"/>
      <c r="D220" s="800"/>
      <c r="E220" s="800"/>
      <c r="F220" s="800"/>
      <c r="G220" s="801"/>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row>
    <row r="221" spans="1:16384" s="2" customFormat="1" ht="17" x14ac:dyDescent="0.15">
      <c r="B221" s="217" t="s">
        <v>178</v>
      </c>
      <c r="C221" s="800"/>
      <c r="D221" s="800"/>
      <c r="E221" s="800"/>
      <c r="F221" s="800"/>
      <c r="G221" s="80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row>
    <row r="222" spans="1:16384" s="146" customFormat="1" ht="27" customHeight="1" x14ac:dyDescent="0.15">
      <c r="B222" s="803" t="str">
        <f>IF('Cover Page'!$D$8&lt;&gt;"Please Select",'Cover Page'!$D$8, "")</f>
        <v/>
      </c>
      <c r="C222" s="803"/>
      <c r="D222" s="803"/>
      <c r="E222" s="803"/>
      <c r="F222" s="803"/>
      <c r="G222" s="804"/>
      <c r="H222"/>
      <c r="I222"/>
      <c r="J222"/>
      <c r="K222"/>
      <c r="L222"/>
    </row>
    <row r="223" spans="1:16384" customFormat="1" ht="33" customHeight="1" x14ac:dyDescent="0.15">
      <c r="B223" s="808" t="s">
        <v>180</v>
      </c>
      <c r="C223" s="809"/>
      <c r="D223" s="810"/>
      <c r="E223" s="810"/>
      <c r="F223" s="810"/>
      <c r="G223" s="811"/>
    </row>
    <row r="224" spans="1:16384" customFormat="1" ht="8.25" hidden="1" customHeight="1" x14ac:dyDescent="0.15">
      <c r="A224" s="861"/>
      <c r="B224" s="862"/>
      <c r="C224" s="862"/>
      <c r="D224" s="862"/>
      <c r="E224" s="862"/>
      <c r="F224" s="863"/>
      <c r="G224" s="861"/>
      <c r="H224" s="862"/>
      <c r="I224" s="862"/>
      <c r="J224" s="862"/>
      <c r="K224" s="862"/>
      <c r="L224" s="863"/>
      <c r="M224" s="861"/>
      <c r="N224" s="862"/>
      <c r="O224" s="862"/>
      <c r="P224" s="862"/>
      <c r="Q224" s="862"/>
      <c r="R224" s="863"/>
      <c r="S224" s="861"/>
      <c r="T224" s="862"/>
      <c r="U224" s="862"/>
      <c r="V224" s="862"/>
      <c r="W224" s="862"/>
      <c r="X224" s="863"/>
      <c r="Y224" s="861"/>
      <c r="Z224" s="862"/>
      <c r="AA224" s="862"/>
      <c r="AB224" s="862"/>
      <c r="AC224" s="862"/>
      <c r="AD224" s="863"/>
      <c r="AE224" s="861"/>
      <c r="AF224" s="862"/>
      <c r="AG224" s="862"/>
      <c r="AH224" s="862"/>
      <c r="AI224" s="862"/>
      <c r="AJ224" s="863"/>
      <c r="AK224" s="861"/>
      <c r="AL224" s="862"/>
      <c r="AM224" s="862"/>
      <c r="AN224" s="862"/>
      <c r="AO224" s="862"/>
      <c r="AP224" s="863"/>
      <c r="AQ224" s="861"/>
      <c r="AR224" s="862"/>
      <c r="AS224" s="862"/>
      <c r="AT224" s="862"/>
      <c r="AU224" s="862"/>
      <c r="AV224" s="863"/>
      <c r="AW224" s="861"/>
      <c r="AX224" s="862"/>
      <c r="AY224" s="862"/>
      <c r="AZ224" s="862"/>
      <c r="BA224" s="862"/>
      <c r="BB224" s="863"/>
      <c r="BC224" s="861"/>
      <c r="BD224" s="862"/>
      <c r="BE224" s="862"/>
      <c r="BF224" s="862"/>
      <c r="BG224" s="862"/>
      <c r="BH224" s="863"/>
      <c r="BI224" s="861"/>
      <c r="BJ224" s="862"/>
      <c r="BK224" s="862"/>
      <c r="BL224" s="862"/>
      <c r="BM224" s="862"/>
      <c r="BN224" s="863"/>
      <c r="BO224" s="861"/>
      <c r="BP224" s="862"/>
      <c r="BQ224" s="862"/>
      <c r="BR224" s="862"/>
      <c r="BS224" s="862"/>
      <c r="BT224" s="863"/>
      <c r="BU224" s="861"/>
      <c r="BV224" s="862"/>
      <c r="BW224" s="862"/>
      <c r="BX224" s="862"/>
      <c r="BY224" s="862"/>
      <c r="BZ224" s="863"/>
      <c r="CA224" s="861"/>
      <c r="CB224" s="862"/>
      <c r="CC224" s="862"/>
      <c r="CD224" s="862"/>
      <c r="CE224" s="862"/>
      <c r="CF224" s="863"/>
      <c r="CG224" s="861"/>
      <c r="CH224" s="862"/>
      <c r="CI224" s="862"/>
      <c r="CJ224" s="862"/>
      <c r="CK224" s="862"/>
      <c r="CL224" s="863"/>
      <c r="CM224" s="861"/>
      <c r="CN224" s="862"/>
      <c r="CO224" s="862"/>
      <c r="CP224" s="862"/>
      <c r="CQ224" s="862"/>
      <c r="CR224" s="863"/>
      <c r="CS224" s="861"/>
      <c r="CT224" s="862"/>
      <c r="CU224" s="862"/>
      <c r="CV224" s="862"/>
      <c r="CW224" s="862"/>
      <c r="CX224" s="863"/>
      <c r="CY224" s="861"/>
      <c r="CZ224" s="862"/>
      <c r="DA224" s="862"/>
      <c r="DB224" s="862"/>
      <c r="DC224" s="862"/>
      <c r="DD224" s="863"/>
      <c r="DE224" s="861"/>
      <c r="DF224" s="862"/>
      <c r="DG224" s="862"/>
      <c r="DH224" s="862"/>
      <c r="DI224" s="862"/>
      <c r="DJ224" s="863"/>
      <c r="DK224" s="861"/>
      <c r="DL224" s="862"/>
      <c r="DM224" s="862"/>
      <c r="DN224" s="862"/>
      <c r="DO224" s="862"/>
      <c r="DP224" s="863"/>
      <c r="DQ224" s="861"/>
      <c r="DR224" s="862"/>
      <c r="DS224" s="862"/>
      <c r="DT224" s="862"/>
      <c r="DU224" s="862"/>
      <c r="DV224" s="863"/>
      <c r="DW224" s="861"/>
      <c r="DX224" s="862"/>
      <c r="DY224" s="862"/>
      <c r="DZ224" s="862"/>
      <c r="EA224" s="862"/>
      <c r="EB224" s="863"/>
      <c r="EC224" s="861"/>
      <c r="ED224" s="862"/>
      <c r="EE224" s="862"/>
      <c r="EF224" s="862"/>
      <c r="EG224" s="862"/>
      <c r="EH224" s="863"/>
      <c r="EI224" s="861"/>
      <c r="EJ224" s="862"/>
      <c r="EK224" s="862"/>
      <c r="EL224" s="862"/>
      <c r="EM224" s="862"/>
      <c r="EN224" s="863"/>
      <c r="EO224" s="861"/>
      <c r="EP224" s="862"/>
      <c r="EQ224" s="862"/>
      <c r="ER224" s="862"/>
      <c r="ES224" s="862"/>
      <c r="ET224" s="863"/>
      <c r="EU224" s="861"/>
      <c r="EV224" s="862"/>
      <c r="EW224" s="862"/>
      <c r="EX224" s="862"/>
      <c r="EY224" s="862"/>
      <c r="EZ224" s="863"/>
      <c r="FA224" s="861"/>
      <c r="FB224" s="862"/>
      <c r="FC224" s="862"/>
      <c r="FD224" s="862"/>
      <c r="FE224" s="862"/>
      <c r="FF224" s="863"/>
      <c r="FG224" s="861"/>
      <c r="FH224" s="862"/>
      <c r="FI224" s="862"/>
      <c r="FJ224" s="862"/>
      <c r="FK224" s="862"/>
      <c r="FL224" s="863"/>
      <c r="FM224" s="861"/>
      <c r="FN224" s="862"/>
      <c r="FO224" s="862"/>
      <c r="FP224" s="862"/>
      <c r="FQ224" s="862"/>
      <c r="FR224" s="863"/>
      <c r="FS224" s="861"/>
      <c r="FT224" s="862"/>
      <c r="FU224" s="862"/>
      <c r="FV224" s="862"/>
      <c r="FW224" s="862"/>
      <c r="FX224" s="863"/>
      <c r="FY224" s="861"/>
      <c r="FZ224" s="862"/>
      <c r="GA224" s="862"/>
      <c r="GB224" s="862"/>
      <c r="GC224" s="862"/>
      <c r="GD224" s="863"/>
      <c r="GE224" s="861"/>
      <c r="GF224" s="862"/>
      <c r="GG224" s="862"/>
      <c r="GH224" s="862"/>
      <c r="GI224" s="862"/>
      <c r="GJ224" s="863"/>
      <c r="GK224" s="861"/>
      <c r="GL224" s="862"/>
      <c r="GM224" s="862"/>
      <c r="GN224" s="862"/>
      <c r="GO224" s="862"/>
      <c r="GP224" s="863"/>
      <c r="GQ224" s="861"/>
      <c r="GR224" s="862"/>
      <c r="GS224" s="862"/>
      <c r="GT224" s="862"/>
      <c r="GU224" s="862"/>
      <c r="GV224" s="863"/>
      <c r="GW224" s="861"/>
      <c r="GX224" s="862"/>
      <c r="GY224" s="862"/>
      <c r="GZ224" s="862"/>
      <c r="HA224" s="862"/>
      <c r="HB224" s="863"/>
      <c r="HC224" s="861"/>
      <c r="HD224" s="862"/>
      <c r="HE224" s="862"/>
      <c r="HF224" s="862"/>
      <c r="HG224" s="862"/>
      <c r="HH224" s="863"/>
      <c r="HI224" s="861"/>
      <c r="HJ224" s="862"/>
      <c r="HK224" s="862"/>
      <c r="HL224" s="862"/>
      <c r="HM224" s="862"/>
      <c r="HN224" s="863"/>
      <c r="HO224" s="861"/>
      <c r="HP224" s="862"/>
      <c r="HQ224" s="862"/>
      <c r="HR224" s="862"/>
      <c r="HS224" s="862"/>
      <c r="HT224" s="863"/>
      <c r="HU224" s="861"/>
      <c r="HV224" s="862"/>
      <c r="HW224" s="862"/>
      <c r="HX224" s="862"/>
      <c r="HY224" s="862"/>
      <c r="HZ224" s="863"/>
      <c r="IA224" s="861"/>
      <c r="IB224" s="862"/>
      <c r="IC224" s="862"/>
      <c r="ID224" s="862"/>
      <c r="IE224" s="862"/>
      <c r="IF224" s="863"/>
      <c r="IG224" s="861"/>
      <c r="IH224" s="862"/>
      <c r="II224" s="862"/>
      <c r="IJ224" s="862"/>
      <c r="IK224" s="862"/>
      <c r="IL224" s="863"/>
      <c r="IM224" s="861"/>
      <c r="IN224" s="862"/>
      <c r="IO224" s="862"/>
      <c r="IP224" s="862"/>
      <c r="IQ224" s="862"/>
      <c r="IR224" s="863"/>
      <c r="IS224" s="861"/>
      <c r="IT224" s="862"/>
      <c r="IU224" s="862"/>
      <c r="IV224" s="862"/>
      <c r="IW224" s="862"/>
      <c r="IX224" s="863"/>
      <c r="IY224" s="861"/>
      <c r="IZ224" s="862"/>
      <c r="JA224" s="862"/>
      <c r="JB224" s="862"/>
      <c r="JC224" s="862"/>
      <c r="JD224" s="863"/>
      <c r="JE224" s="861"/>
      <c r="JF224" s="862"/>
      <c r="JG224" s="862"/>
      <c r="JH224" s="862"/>
      <c r="JI224" s="862"/>
      <c r="JJ224" s="863"/>
      <c r="JK224" s="861"/>
      <c r="JL224" s="862"/>
      <c r="JM224" s="862"/>
      <c r="JN224" s="862"/>
      <c r="JO224" s="862"/>
      <c r="JP224" s="863"/>
      <c r="JQ224" s="861"/>
      <c r="JR224" s="862"/>
      <c r="JS224" s="862"/>
      <c r="JT224" s="862"/>
      <c r="JU224" s="862"/>
      <c r="JV224" s="863"/>
      <c r="JW224" s="861"/>
      <c r="JX224" s="862"/>
      <c r="JY224" s="862"/>
      <c r="JZ224" s="862"/>
      <c r="KA224" s="862"/>
      <c r="KB224" s="863"/>
      <c r="KC224" s="861"/>
      <c r="KD224" s="862"/>
      <c r="KE224" s="862"/>
      <c r="KF224" s="862"/>
      <c r="KG224" s="862"/>
      <c r="KH224" s="863"/>
      <c r="KI224" s="861"/>
      <c r="KJ224" s="862"/>
      <c r="KK224" s="862"/>
      <c r="KL224" s="862"/>
      <c r="KM224" s="862"/>
      <c r="KN224" s="863"/>
      <c r="KO224" s="861"/>
      <c r="KP224" s="862"/>
      <c r="KQ224" s="862"/>
      <c r="KR224" s="862"/>
      <c r="KS224" s="862"/>
      <c r="KT224" s="863"/>
      <c r="KU224" s="861"/>
      <c r="KV224" s="862"/>
      <c r="KW224" s="862"/>
      <c r="KX224" s="862"/>
      <c r="KY224" s="862"/>
      <c r="KZ224" s="863"/>
      <c r="LA224" s="861"/>
      <c r="LB224" s="862"/>
      <c r="LC224" s="862"/>
      <c r="LD224" s="862"/>
      <c r="LE224" s="862"/>
      <c r="LF224" s="863"/>
      <c r="LG224" s="861"/>
      <c r="LH224" s="862"/>
      <c r="LI224" s="862"/>
      <c r="LJ224" s="862"/>
      <c r="LK224" s="862"/>
      <c r="LL224" s="863"/>
      <c r="LM224" s="861"/>
      <c r="LN224" s="862"/>
      <c r="LO224" s="862"/>
      <c r="LP224" s="862"/>
      <c r="LQ224" s="862"/>
      <c r="LR224" s="863"/>
      <c r="LS224" s="861"/>
      <c r="LT224" s="862"/>
      <c r="LU224" s="862"/>
      <c r="LV224" s="862"/>
      <c r="LW224" s="862"/>
      <c r="LX224" s="863"/>
      <c r="LY224" s="861"/>
      <c r="LZ224" s="862"/>
      <c r="MA224" s="862"/>
      <c r="MB224" s="862"/>
      <c r="MC224" s="862"/>
      <c r="MD224" s="863"/>
      <c r="ME224" s="861"/>
      <c r="MF224" s="862"/>
      <c r="MG224" s="862"/>
      <c r="MH224" s="862"/>
      <c r="MI224" s="862"/>
      <c r="MJ224" s="863"/>
      <c r="MK224" s="861"/>
      <c r="ML224" s="862"/>
      <c r="MM224" s="862"/>
      <c r="MN224" s="862"/>
      <c r="MO224" s="862"/>
      <c r="MP224" s="863"/>
      <c r="MQ224" s="861"/>
      <c r="MR224" s="862"/>
      <c r="MS224" s="862"/>
      <c r="MT224" s="862"/>
      <c r="MU224" s="862"/>
      <c r="MV224" s="863"/>
      <c r="MW224" s="861"/>
      <c r="MX224" s="862"/>
      <c r="MY224" s="862"/>
      <c r="MZ224" s="862"/>
      <c r="NA224" s="862"/>
      <c r="NB224" s="863"/>
      <c r="NC224" s="861"/>
      <c r="ND224" s="862"/>
      <c r="NE224" s="862"/>
      <c r="NF224" s="862"/>
      <c r="NG224" s="862"/>
      <c r="NH224" s="863"/>
      <c r="NI224" s="861"/>
      <c r="NJ224" s="862"/>
      <c r="NK224" s="862"/>
      <c r="NL224" s="862"/>
      <c r="NM224" s="862"/>
      <c r="NN224" s="863"/>
      <c r="NO224" s="861"/>
      <c r="NP224" s="862"/>
      <c r="NQ224" s="862"/>
      <c r="NR224" s="862"/>
      <c r="NS224" s="862"/>
      <c r="NT224" s="863"/>
      <c r="NU224" s="861"/>
      <c r="NV224" s="862"/>
      <c r="NW224" s="862"/>
      <c r="NX224" s="862"/>
      <c r="NY224" s="862"/>
      <c r="NZ224" s="863"/>
      <c r="OA224" s="861"/>
      <c r="OB224" s="862"/>
      <c r="OC224" s="862"/>
      <c r="OD224" s="862"/>
      <c r="OE224" s="862"/>
      <c r="OF224" s="863"/>
      <c r="OG224" s="861"/>
      <c r="OH224" s="862"/>
      <c r="OI224" s="862"/>
      <c r="OJ224" s="862"/>
      <c r="OK224" s="862"/>
      <c r="OL224" s="863"/>
      <c r="OM224" s="861"/>
      <c r="ON224" s="862"/>
      <c r="OO224" s="862"/>
      <c r="OP224" s="862"/>
      <c r="OQ224" s="862"/>
      <c r="OR224" s="863"/>
      <c r="OS224" s="861"/>
      <c r="OT224" s="862"/>
      <c r="OU224" s="862"/>
      <c r="OV224" s="862"/>
      <c r="OW224" s="862"/>
      <c r="OX224" s="863"/>
      <c r="OY224" s="861"/>
      <c r="OZ224" s="862"/>
      <c r="PA224" s="862"/>
      <c r="PB224" s="862"/>
      <c r="PC224" s="862"/>
      <c r="PD224" s="863"/>
      <c r="PE224" s="861"/>
      <c r="PF224" s="862"/>
      <c r="PG224" s="862"/>
      <c r="PH224" s="862"/>
      <c r="PI224" s="862"/>
      <c r="PJ224" s="863"/>
      <c r="PK224" s="861"/>
      <c r="PL224" s="862"/>
      <c r="PM224" s="862"/>
      <c r="PN224" s="862"/>
      <c r="PO224" s="862"/>
      <c r="PP224" s="863"/>
      <c r="PQ224" s="861"/>
      <c r="PR224" s="862"/>
      <c r="PS224" s="862"/>
      <c r="PT224" s="862"/>
      <c r="PU224" s="862"/>
      <c r="PV224" s="863"/>
      <c r="PW224" s="861"/>
      <c r="PX224" s="862"/>
      <c r="PY224" s="862"/>
      <c r="PZ224" s="862"/>
      <c r="QA224" s="862"/>
      <c r="QB224" s="863"/>
      <c r="QC224" s="861"/>
      <c r="QD224" s="862"/>
      <c r="QE224" s="862"/>
      <c r="QF224" s="862"/>
      <c r="QG224" s="862"/>
      <c r="QH224" s="863"/>
      <c r="QI224" s="861"/>
      <c r="QJ224" s="862"/>
      <c r="QK224" s="862"/>
      <c r="QL224" s="862"/>
      <c r="QM224" s="862"/>
      <c r="QN224" s="863"/>
      <c r="QO224" s="861"/>
      <c r="QP224" s="862"/>
      <c r="QQ224" s="862"/>
      <c r="QR224" s="862"/>
      <c r="QS224" s="862"/>
      <c r="QT224" s="863"/>
      <c r="QU224" s="861"/>
      <c r="QV224" s="862"/>
      <c r="QW224" s="862"/>
      <c r="QX224" s="862"/>
      <c r="QY224" s="862"/>
      <c r="QZ224" s="863"/>
      <c r="RA224" s="861"/>
      <c r="RB224" s="862"/>
      <c r="RC224" s="862"/>
      <c r="RD224" s="862"/>
      <c r="RE224" s="862"/>
      <c r="RF224" s="863"/>
      <c r="RG224" s="861"/>
      <c r="RH224" s="862"/>
      <c r="RI224" s="862"/>
      <c r="RJ224" s="862"/>
      <c r="RK224" s="862"/>
      <c r="RL224" s="863"/>
      <c r="RM224" s="861"/>
      <c r="RN224" s="862"/>
      <c r="RO224" s="862"/>
      <c r="RP224" s="862"/>
      <c r="RQ224" s="862"/>
      <c r="RR224" s="863"/>
      <c r="RS224" s="861"/>
      <c r="RT224" s="862"/>
      <c r="RU224" s="862"/>
      <c r="RV224" s="862"/>
      <c r="RW224" s="862"/>
      <c r="RX224" s="863"/>
      <c r="RY224" s="861"/>
      <c r="RZ224" s="862"/>
      <c r="SA224" s="862"/>
      <c r="SB224" s="862"/>
      <c r="SC224" s="862"/>
      <c r="SD224" s="863"/>
      <c r="SE224" s="861"/>
      <c r="SF224" s="862"/>
      <c r="SG224" s="862"/>
      <c r="SH224" s="862"/>
      <c r="SI224" s="862"/>
      <c r="SJ224" s="863"/>
      <c r="SK224" s="861"/>
      <c r="SL224" s="862"/>
      <c r="SM224" s="862"/>
      <c r="SN224" s="862"/>
      <c r="SO224" s="862"/>
      <c r="SP224" s="863"/>
      <c r="SQ224" s="861"/>
      <c r="SR224" s="862"/>
      <c r="SS224" s="862"/>
      <c r="ST224" s="862"/>
      <c r="SU224" s="862"/>
      <c r="SV224" s="863"/>
      <c r="SW224" s="861"/>
      <c r="SX224" s="862"/>
      <c r="SY224" s="862"/>
      <c r="SZ224" s="862"/>
      <c r="TA224" s="862"/>
      <c r="TB224" s="863"/>
      <c r="TC224" s="861"/>
      <c r="TD224" s="862"/>
      <c r="TE224" s="862"/>
      <c r="TF224" s="862"/>
      <c r="TG224" s="862"/>
      <c r="TH224" s="863"/>
      <c r="TI224" s="861"/>
      <c r="TJ224" s="862"/>
      <c r="TK224" s="862"/>
      <c r="TL224" s="862"/>
      <c r="TM224" s="862"/>
      <c r="TN224" s="863"/>
      <c r="TO224" s="861"/>
      <c r="TP224" s="862"/>
      <c r="TQ224" s="862"/>
      <c r="TR224" s="862"/>
      <c r="TS224" s="862"/>
      <c r="TT224" s="863"/>
      <c r="TU224" s="861"/>
      <c r="TV224" s="862"/>
      <c r="TW224" s="862"/>
      <c r="TX224" s="862"/>
      <c r="TY224" s="862"/>
      <c r="TZ224" s="863"/>
      <c r="UA224" s="861"/>
      <c r="UB224" s="862"/>
      <c r="UC224" s="862"/>
      <c r="UD224" s="862"/>
      <c r="UE224" s="862"/>
      <c r="UF224" s="863"/>
      <c r="UG224" s="861"/>
      <c r="UH224" s="862"/>
      <c r="UI224" s="862"/>
      <c r="UJ224" s="862"/>
      <c r="UK224" s="862"/>
      <c r="UL224" s="863"/>
      <c r="UM224" s="861"/>
      <c r="UN224" s="862"/>
      <c r="UO224" s="862"/>
      <c r="UP224" s="862"/>
      <c r="UQ224" s="862"/>
      <c r="UR224" s="863"/>
      <c r="US224" s="861"/>
      <c r="UT224" s="862"/>
      <c r="UU224" s="862"/>
      <c r="UV224" s="862"/>
      <c r="UW224" s="862"/>
      <c r="UX224" s="863"/>
      <c r="UY224" s="861"/>
      <c r="UZ224" s="862"/>
      <c r="VA224" s="862"/>
      <c r="VB224" s="862"/>
      <c r="VC224" s="862"/>
      <c r="VD224" s="863"/>
      <c r="VE224" s="861"/>
      <c r="VF224" s="862"/>
      <c r="VG224" s="862"/>
      <c r="VH224" s="862"/>
      <c r="VI224" s="862"/>
      <c r="VJ224" s="863"/>
      <c r="VK224" s="861"/>
      <c r="VL224" s="862"/>
      <c r="VM224" s="862"/>
      <c r="VN224" s="862"/>
      <c r="VO224" s="862"/>
      <c r="VP224" s="863"/>
      <c r="VQ224" s="861"/>
      <c r="VR224" s="862"/>
      <c r="VS224" s="862"/>
      <c r="VT224" s="862"/>
      <c r="VU224" s="862"/>
      <c r="VV224" s="863"/>
      <c r="VW224" s="861"/>
      <c r="VX224" s="862"/>
      <c r="VY224" s="862"/>
      <c r="VZ224" s="862"/>
      <c r="WA224" s="862"/>
      <c r="WB224" s="863"/>
      <c r="WC224" s="861"/>
      <c r="WD224" s="862"/>
      <c r="WE224" s="862"/>
      <c r="WF224" s="862"/>
      <c r="WG224" s="862"/>
      <c r="WH224" s="863"/>
      <c r="WI224" s="861"/>
      <c r="WJ224" s="862"/>
      <c r="WK224" s="862"/>
      <c r="WL224" s="862"/>
      <c r="WM224" s="862"/>
      <c r="WN224" s="863"/>
      <c r="WO224" s="861"/>
      <c r="WP224" s="862"/>
      <c r="WQ224" s="862"/>
      <c r="WR224" s="862"/>
      <c r="WS224" s="862"/>
      <c r="WT224" s="863"/>
      <c r="WU224" s="861"/>
      <c r="WV224" s="862"/>
      <c r="WW224" s="862"/>
      <c r="WX224" s="862"/>
      <c r="WY224" s="862"/>
      <c r="WZ224" s="863"/>
      <c r="XA224" s="861"/>
      <c r="XB224" s="862"/>
      <c r="XC224" s="862"/>
      <c r="XD224" s="862"/>
      <c r="XE224" s="862"/>
      <c r="XF224" s="863"/>
      <c r="XG224" s="861"/>
      <c r="XH224" s="862"/>
      <c r="XI224" s="862"/>
      <c r="XJ224" s="862"/>
      <c r="XK224" s="862"/>
      <c r="XL224" s="863"/>
      <c r="XM224" s="861"/>
      <c r="XN224" s="862"/>
      <c r="XO224" s="862"/>
      <c r="XP224" s="862"/>
      <c r="XQ224" s="862"/>
      <c r="XR224" s="863"/>
      <c r="XS224" s="861"/>
      <c r="XT224" s="862"/>
      <c r="XU224" s="862"/>
      <c r="XV224" s="862"/>
      <c r="XW224" s="862"/>
      <c r="XX224" s="863"/>
      <c r="XY224" s="861"/>
      <c r="XZ224" s="862"/>
      <c r="YA224" s="862"/>
      <c r="YB224" s="862"/>
      <c r="YC224" s="862"/>
      <c r="YD224" s="863"/>
      <c r="YE224" s="861"/>
      <c r="YF224" s="862"/>
      <c r="YG224" s="862"/>
      <c r="YH224" s="862"/>
      <c r="YI224" s="862"/>
      <c r="YJ224" s="863"/>
      <c r="YK224" s="861"/>
      <c r="YL224" s="862"/>
      <c r="YM224" s="862"/>
      <c r="YN224" s="862"/>
      <c r="YO224" s="862"/>
      <c r="YP224" s="863"/>
      <c r="YQ224" s="861"/>
      <c r="YR224" s="862"/>
      <c r="YS224" s="862"/>
      <c r="YT224" s="862"/>
      <c r="YU224" s="862"/>
      <c r="YV224" s="863"/>
      <c r="YW224" s="861"/>
      <c r="YX224" s="862"/>
      <c r="YY224" s="862"/>
      <c r="YZ224" s="862"/>
      <c r="ZA224" s="862"/>
      <c r="ZB224" s="863"/>
      <c r="ZC224" s="861"/>
      <c r="ZD224" s="862"/>
      <c r="ZE224" s="862"/>
      <c r="ZF224" s="862"/>
      <c r="ZG224" s="862"/>
      <c r="ZH224" s="863"/>
      <c r="ZI224" s="861"/>
      <c r="ZJ224" s="862"/>
      <c r="ZK224" s="862"/>
      <c r="ZL224" s="862"/>
      <c r="ZM224" s="862"/>
      <c r="ZN224" s="863"/>
      <c r="ZO224" s="861"/>
      <c r="ZP224" s="862"/>
      <c r="ZQ224" s="862"/>
      <c r="ZR224" s="862"/>
      <c r="ZS224" s="862"/>
      <c r="ZT224" s="863"/>
      <c r="ZU224" s="861"/>
      <c r="ZV224" s="862"/>
      <c r="ZW224" s="862"/>
      <c r="ZX224" s="862"/>
      <c r="ZY224" s="862"/>
      <c r="ZZ224" s="863"/>
      <c r="AAA224" s="861"/>
      <c r="AAB224" s="862"/>
      <c r="AAC224" s="862"/>
      <c r="AAD224" s="862"/>
      <c r="AAE224" s="862"/>
      <c r="AAF224" s="863"/>
      <c r="AAG224" s="861"/>
      <c r="AAH224" s="862"/>
      <c r="AAI224" s="862"/>
      <c r="AAJ224" s="862"/>
      <c r="AAK224" s="862"/>
      <c r="AAL224" s="863"/>
      <c r="AAM224" s="861"/>
      <c r="AAN224" s="862"/>
      <c r="AAO224" s="862"/>
      <c r="AAP224" s="862"/>
      <c r="AAQ224" s="862"/>
      <c r="AAR224" s="863"/>
      <c r="AAS224" s="861"/>
      <c r="AAT224" s="862"/>
      <c r="AAU224" s="862"/>
      <c r="AAV224" s="862"/>
      <c r="AAW224" s="862"/>
      <c r="AAX224" s="863"/>
      <c r="AAY224" s="861"/>
      <c r="AAZ224" s="862"/>
      <c r="ABA224" s="862"/>
      <c r="ABB224" s="862"/>
      <c r="ABC224" s="862"/>
      <c r="ABD224" s="863"/>
      <c r="ABE224" s="861"/>
      <c r="ABF224" s="862"/>
      <c r="ABG224" s="862"/>
      <c r="ABH224" s="862"/>
      <c r="ABI224" s="862"/>
      <c r="ABJ224" s="863"/>
      <c r="ABK224" s="861"/>
      <c r="ABL224" s="862"/>
      <c r="ABM224" s="862"/>
      <c r="ABN224" s="862"/>
      <c r="ABO224" s="862"/>
      <c r="ABP224" s="863"/>
      <c r="ABQ224" s="861"/>
      <c r="ABR224" s="862"/>
      <c r="ABS224" s="862"/>
      <c r="ABT224" s="862"/>
      <c r="ABU224" s="862"/>
      <c r="ABV224" s="863"/>
      <c r="ABW224" s="861"/>
      <c r="ABX224" s="862"/>
      <c r="ABY224" s="862"/>
      <c r="ABZ224" s="862"/>
      <c r="ACA224" s="862"/>
      <c r="ACB224" s="863"/>
      <c r="ACC224" s="861"/>
      <c r="ACD224" s="862"/>
      <c r="ACE224" s="862"/>
      <c r="ACF224" s="862"/>
      <c r="ACG224" s="862"/>
      <c r="ACH224" s="863"/>
      <c r="ACI224" s="861"/>
      <c r="ACJ224" s="862"/>
      <c r="ACK224" s="862"/>
      <c r="ACL224" s="862"/>
      <c r="ACM224" s="862"/>
      <c r="ACN224" s="863"/>
      <c r="ACO224" s="861"/>
      <c r="ACP224" s="862"/>
      <c r="ACQ224" s="862"/>
      <c r="ACR224" s="862"/>
      <c r="ACS224" s="862"/>
      <c r="ACT224" s="863"/>
      <c r="ACU224" s="861"/>
      <c r="ACV224" s="862"/>
      <c r="ACW224" s="862"/>
      <c r="ACX224" s="862"/>
      <c r="ACY224" s="862"/>
      <c r="ACZ224" s="863"/>
      <c r="ADA224" s="861"/>
      <c r="ADB224" s="862"/>
      <c r="ADC224" s="862"/>
      <c r="ADD224" s="862"/>
      <c r="ADE224" s="862"/>
      <c r="ADF224" s="863"/>
      <c r="ADG224" s="861"/>
      <c r="ADH224" s="862"/>
      <c r="ADI224" s="862"/>
      <c r="ADJ224" s="862"/>
      <c r="ADK224" s="862"/>
      <c r="ADL224" s="863"/>
      <c r="ADM224" s="861"/>
      <c r="ADN224" s="862"/>
      <c r="ADO224" s="862"/>
      <c r="ADP224" s="862"/>
      <c r="ADQ224" s="862"/>
      <c r="ADR224" s="863"/>
      <c r="ADS224" s="861"/>
      <c r="ADT224" s="862"/>
      <c r="ADU224" s="862"/>
      <c r="ADV224" s="862"/>
      <c r="ADW224" s="862"/>
      <c r="ADX224" s="863"/>
      <c r="ADY224" s="861"/>
      <c r="ADZ224" s="862"/>
      <c r="AEA224" s="862"/>
      <c r="AEB224" s="862"/>
      <c r="AEC224" s="862"/>
      <c r="AED224" s="863"/>
      <c r="AEE224" s="861"/>
      <c r="AEF224" s="862"/>
      <c r="AEG224" s="862"/>
      <c r="AEH224" s="862"/>
      <c r="AEI224" s="862"/>
      <c r="AEJ224" s="863"/>
      <c r="AEK224" s="861"/>
      <c r="AEL224" s="862"/>
      <c r="AEM224" s="862"/>
      <c r="AEN224" s="862"/>
      <c r="AEO224" s="862"/>
      <c r="AEP224" s="863"/>
      <c r="AEQ224" s="861"/>
      <c r="AER224" s="862"/>
      <c r="AES224" s="862"/>
      <c r="AET224" s="862"/>
      <c r="AEU224" s="862"/>
      <c r="AEV224" s="863"/>
      <c r="AEW224" s="861"/>
      <c r="AEX224" s="862"/>
      <c r="AEY224" s="862"/>
      <c r="AEZ224" s="862"/>
      <c r="AFA224" s="862"/>
      <c r="AFB224" s="863"/>
      <c r="AFC224" s="861"/>
      <c r="AFD224" s="862"/>
      <c r="AFE224" s="862"/>
      <c r="AFF224" s="862"/>
      <c r="AFG224" s="862"/>
      <c r="AFH224" s="863"/>
      <c r="AFI224" s="861"/>
      <c r="AFJ224" s="862"/>
      <c r="AFK224" s="862"/>
      <c r="AFL224" s="862"/>
      <c r="AFM224" s="862"/>
      <c r="AFN224" s="863"/>
      <c r="AFO224" s="861"/>
      <c r="AFP224" s="862"/>
      <c r="AFQ224" s="862"/>
      <c r="AFR224" s="862"/>
      <c r="AFS224" s="862"/>
      <c r="AFT224" s="863"/>
      <c r="AFU224" s="861"/>
      <c r="AFV224" s="862"/>
      <c r="AFW224" s="862"/>
      <c r="AFX224" s="862"/>
      <c r="AFY224" s="862"/>
      <c r="AFZ224" s="863"/>
      <c r="AGA224" s="861"/>
      <c r="AGB224" s="862"/>
      <c r="AGC224" s="862"/>
      <c r="AGD224" s="862"/>
      <c r="AGE224" s="862"/>
      <c r="AGF224" s="863"/>
      <c r="AGG224" s="861"/>
      <c r="AGH224" s="862"/>
      <c r="AGI224" s="862"/>
      <c r="AGJ224" s="862"/>
      <c r="AGK224" s="862"/>
      <c r="AGL224" s="863"/>
      <c r="AGM224" s="861"/>
      <c r="AGN224" s="862"/>
      <c r="AGO224" s="862"/>
      <c r="AGP224" s="862"/>
      <c r="AGQ224" s="862"/>
      <c r="AGR224" s="863"/>
      <c r="AGS224" s="861"/>
      <c r="AGT224" s="862"/>
      <c r="AGU224" s="862"/>
      <c r="AGV224" s="862"/>
      <c r="AGW224" s="862"/>
      <c r="AGX224" s="863"/>
      <c r="AGY224" s="861"/>
      <c r="AGZ224" s="862"/>
      <c r="AHA224" s="862"/>
      <c r="AHB224" s="862"/>
      <c r="AHC224" s="862"/>
      <c r="AHD224" s="863"/>
      <c r="AHE224" s="861"/>
      <c r="AHF224" s="862"/>
      <c r="AHG224" s="862"/>
      <c r="AHH224" s="862"/>
      <c r="AHI224" s="862"/>
      <c r="AHJ224" s="863"/>
      <c r="AHK224" s="861"/>
      <c r="AHL224" s="862"/>
      <c r="AHM224" s="862"/>
      <c r="AHN224" s="862"/>
      <c r="AHO224" s="862"/>
      <c r="AHP224" s="863"/>
      <c r="AHQ224" s="861"/>
      <c r="AHR224" s="862"/>
      <c r="AHS224" s="862"/>
      <c r="AHT224" s="862"/>
      <c r="AHU224" s="862"/>
      <c r="AHV224" s="863"/>
      <c r="AHW224" s="861"/>
      <c r="AHX224" s="862"/>
      <c r="AHY224" s="862"/>
      <c r="AHZ224" s="862"/>
      <c r="AIA224" s="862"/>
      <c r="AIB224" s="863"/>
      <c r="AIC224" s="861"/>
      <c r="AID224" s="862"/>
      <c r="AIE224" s="862"/>
      <c r="AIF224" s="862"/>
      <c r="AIG224" s="862"/>
      <c r="AIH224" s="863"/>
      <c r="AII224" s="861"/>
      <c r="AIJ224" s="862"/>
      <c r="AIK224" s="862"/>
      <c r="AIL224" s="862"/>
      <c r="AIM224" s="862"/>
      <c r="AIN224" s="863"/>
      <c r="AIO224" s="861"/>
      <c r="AIP224" s="862"/>
      <c r="AIQ224" s="862"/>
      <c r="AIR224" s="862"/>
      <c r="AIS224" s="862"/>
      <c r="AIT224" s="863"/>
      <c r="AIU224" s="861"/>
      <c r="AIV224" s="862"/>
      <c r="AIW224" s="862"/>
      <c r="AIX224" s="862"/>
      <c r="AIY224" s="862"/>
      <c r="AIZ224" s="863"/>
      <c r="AJA224" s="861"/>
      <c r="AJB224" s="862"/>
      <c r="AJC224" s="862"/>
      <c r="AJD224" s="862"/>
      <c r="AJE224" s="862"/>
      <c r="AJF224" s="863"/>
      <c r="AJG224" s="861"/>
      <c r="AJH224" s="862"/>
      <c r="AJI224" s="862"/>
      <c r="AJJ224" s="862"/>
      <c r="AJK224" s="862"/>
      <c r="AJL224" s="863"/>
      <c r="AJM224" s="861"/>
      <c r="AJN224" s="862"/>
      <c r="AJO224" s="862"/>
      <c r="AJP224" s="862"/>
      <c r="AJQ224" s="862"/>
      <c r="AJR224" s="863"/>
      <c r="AJS224" s="861"/>
      <c r="AJT224" s="862"/>
      <c r="AJU224" s="862"/>
      <c r="AJV224" s="862"/>
      <c r="AJW224" s="862"/>
      <c r="AJX224" s="863"/>
      <c r="AJY224" s="861"/>
      <c r="AJZ224" s="862"/>
      <c r="AKA224" s="862"/>
      <c r="AKB224" s="862"/>
      <c r="AKC224" s="862"/>
      <c r="AKD224" s="863"/>
      <c r="AKE224" s="861"/>
      <c r="AKF224" s="862"/>
      <c r="AKG224" s="862"/>
      <c r="AKH224" s="862"/>
      <c r="AKI224" s="862"/>
      <c r="AKJ224" s="863"/>
      <c r="AKK224" s="861"/>
      <c r="AKL224" s="862"/>
      <c r="AKM224" s="862"/>
      <c r="AKN224" s="862"/>
      <c r="AKO224" s="862"/>
      <c r="AKP224" s="863"/>
      <c r="AKQ224" s="861"/>
      <c r="AKR224" s="862"/>
      <c r="AKS224" s="862"/>
      <c r="AKT224" s="862"/>
      <c r="AKU224" s="862"/>
      <c r="AKV224" s="863"/>
      <c r="AKW224" s="861"/>
      <c r="AKX224" s="862"/>
      <c r="AKY224" s="862"/>
      <c r="AKZ224" s="862"/>
      <c r="ALA224" s="862"/>
      <c r="ALB224" s="863"/>
      <c r="ALC224" s="861"/>
      <c r="ALD224" s="862"/>
      <c r="ALE224" s="862"/>
      <c r="ALF224" s="862"/>
      <c r="ALG224" s="862"/>
      <c r="ALH224" s="863"/>
      <c r="ALI224" s="861"/>
      <c r="ALJ224" s="862"/>
      <c r="ALK224" s="862"/>
      <c r="ALL224" s="862"/>
      <c r="ALM224" s="862"/>
      <c r="ALN224" s="863"/>
      <c r="ALO224" s="861"/>
      <c r="ALP224" s="862"/>
      <c r="ALQ224" s="862"/>
      <c r="ALR224" s="862"/>
      <c r="ALS224" s="862"/>
      <c r="ALT224" s="863"/>
      <c r="ALU224" s="861"/>
      <c r="ALV224" s="862"/>
      <c r="ALW224" s="862"/>
      <c r="ALX224" s="862"/>
      <c r="ALY224" s="862"/>
      <c r="ALZ224" s="863"/>
      <c r="AMA224" s="861"/>
      <c r="AMB224" s="862"/>
      <c r="AMC224" s="862"/>
      <c r="AMD224" s="862"/>
      <c r="AME224" s="862"/>
      <c r="AMF224" s="863"/>
      <c r="AMG224" s="861"/>
      <c r="AMH224" s="862"/>
      <c r="AMI224" s="862"/>
      <c r="AMJ224" s="862"/>
      <c r="AMK224" s="862"/>
      <c r="AML224" s="863"/>
      <c r="AMM224" s="861"/>
      <c r="AMN224" s="862"/>
      <c r="AMO224" s="862"/>
      <c r="AMP224" s="862"/>
      <c r="AMQ224" s="862"/>
      <c r="AMR224" s="863"/>
      <c r="AMS224" s="861"/>
      <c r="AMT224" s="862"/>
      <c r="AMU224" s="862"/>
      <c r="AMV224" s="862"/>
      <c r="AMW224" s="862"/>
      <c r="AMX224" s="863"/>
      <c r="AMY224" s="861"/>
      <c r="AMZ224" s="862"/>
      <c r="ANA224" s="862"/>
      <c r="ANB224" s="862"/>
      <c r="ANC224" s="862"/>
      <c r="AND224" s="863"/>
      <c r="ANE224" s="861"/>
      <c r="ANF224" s="862"/>
      <c r="ANG224" s="862"/>
      <c r="ANH224" s="862"/>
      <c r="ANI224" s="862"/>
      <c r="ANJ224" s="863"/>
      <c r="ANK224" s="861"/>
      <c r="ANL224" s="862"/>
      <c r="ANM224" s="862"/>
      <c r="ANN224" s="862"/>
      <c r="ANO224" s="862"/>
      <c r="ANP224" s="863"/>
      <c r="ANQ224" s="861"/>
      <c r="ANR224" s="862"/>
      <c r="ANS224" s="862"/>
      <c r="ANT224" s="862"/>
      <c r="ANU224" s="862"/>
      <c r="ANV224" s="863"/>
      <c r="ANW224" s="861"/>
      <c r="ANX224" s="862"/>
      <c r="ANY224" s="862"/>
      <c r="ANZ224" s="862"/>
      <c r="AOA224" s="862"/>
      <c r="AOB224" s="863"/>
      <c r="AOC224" s="861"/>
      <c r="AOD224" s="862"/>
      <c r="AOE224" s="862"/>
      <c r="AOF224" s="862"/>
      <c r="AOG224" s="862"/>
      <c r="AOH224" s="863"/>
      <c r="AOI224" s="861"/>
      <c r="AOJ224" s="862"/>
      <c r="AOK224" s="862"/>
      <c r="AOL224" s="862"/>
      <c r="AOM224" s="862"/>
      <c r="AON224" s="863"/>
      <c r="AOO224" s="861"/>
      <c r="AOP224" s="862"/>
      <c r="AOQ224" s="862"/>
      <c r="AOR224" s="862"/>
      <c r="AOS224" s="862"/>
      <c r="AOT224" s="863"/>
      <c r="AOU224" s="861"/>
      <c r="AOV224" s="862"/>
      <c r="AOW224" s="862"/>
      <c r="AOX224" s="862"/>
      <c r="AOY224" s="862"/>
      <c r="AOZ224" s="863"/>
      <c r="APA224" s="861"/>
      <c r="APB224" s="862"/>
      <c r="APC224" s="862"/>
      <c r="APD224" s="862"/>
      <c r="APE224" s="862"/>
      <c r="APF224" s="863"/>
      <c r="APG224" s="861"/>
      <c r="APH224" s="862"/>
      <c r="API224" s="862"/>
      <c r="APJ224" s="862"/>
      <c r="APK224" s="862"/>
      <c r="APL224" s="863"/>
      <c r="APM224" s="861"/>
      <c r="APN224" s="862"/>
      <c r="APO224" s="862"/>
      <c r="APP224" s="862"/>
      <c r="APQ224" s="862"/>
      <c r="APR224" s="863"/>
      <c r="APS224" s="861"/>
      <c r="APT224" s="862"/>
      <c r="APU224" s="862"/>
      <c r="APV224" s="862"/>
      <c r="APW224" s="862"/>
      <c r="APX224" s="863"/>
      <c r="APY224" s="861"/>
      <c r="APZ224" s="862"/>
      <c r="AQA224" s="862"/>
      <c r="AQB224" s="862"/>
      <c r="AQC224" s="862"/>
      <c r="AQD224" s="863"/>
      <c r="AQE224" s="861"/>
      <c r="AQF224" s="862"/>
      <c r="AQG224" s="862"/>
      <c r="AQH224" s="862"/>
      <c r="AQI224" s="862"/>
      <c r="AQJ224" s="863"/>
      <c r="AQK224" s="861"/>
      <c r="AQL224" s="862"/>
      <c r="AQM224" s="862"/>
      <c r="AQN224" s="862"/>
      <c r="AQO224" s="862"/>
      <c r="AQP224" s="863"/>
      <c r="AQQ224" s="861"/>
      <c r="AQR224" s="862"/>
      <c r="AQS224" s="862"/>
      <c r="AQT224" s="862"/>
      <c r="AQU224" s="862"/>
      <c r="AQV224" s="863"/>
      <c r="AQW224" s="861"/>
      <c r="AQX224" s="862"/>
      <c r="AQY224" s="862"/>
      <c r="AQZ224" s="862"/>
      <c r="ARA224" s="862"/>
      <c r="ARB224" s="863"/>
      <c r="ARC224" s="861"/>
      <c r="ARD224" s="862"/>
      <c r="ARE224" s="862"/>
      <c r="ARF224" s="862"/>
      <c r="ARG224" s="862"/>
      <c r="ARH224" s="863"/>
      <c r="ARI224" s="861"/>
      <c r="ARJ224" s="862"/>
      <c r="ARK224" s="862"/>
      <c r="ARL224" s="862"/>
      <c r="ARM224" s="862"/>
      <c r="ARN224" s="863"/>
      <c r="ARO224" s="861"/>
      <c r="ARP224" s="862"/>
      <c r="ARQ224" s="862"/>
      <c r="ARR224" s="862"/>
      <c r="ARS224" s="862"/>
      <c r="ART224" s="863"/>
      <c r="ARU224" s="861"/>
      <c r="ARV224" s="862"/>
      <c r="ARW224" s="862"/>
      <c r="ARX224" s="862"/>
      <c r="ARY224" s="862"/>
      <c r="ARZ224" s="863"/>
      <c r="ASA224" s="861"/>
      <c r="ASB224" s="862"/>
      <c r="ASC224" s="862"/>
      <c r="ASD224" s="862"/>
      <c r="ASE224" s="862"/>
      <c r="ASF224" s="863"/>
      <c r="ASG224" s="861"/>
      <c r="ASH224" s="862"/>
      <c r="ASI224" s="862"/>
      <c r="ASJ224" s="862"/>
      <c r="ASK224" s="862"/>
      <c r="ASL224" s="863"/>
      <c r="ASM224" s="861"/>
      <c r="ASN224" s="862"/>
      <c r="ASO224" s="862"/>
      <c r="ASP224" s="862"/>
      <c r="ASQ224" s="862"/>
      <c r="ASR224" s="863"/>
      <c r="ASS224" s="861"/>
      <c r="AST224" s="862"/>
      <c r="ASU224" s="862"/>
      <c r="ASV224" s="862"/>
      <c r="ASW224" s="862"/>
      <c r="ASX224" s="863"/>
      <c r="ASY224" s="861"/>
      <c r="ASZ224" s="862"/>
      <c r="ATA224" s="862"/>
      <c r="ATB224" s="862"/>
      <c r="ATC224" s="862"/>
      <c r="ATD224" s="863"/>
      <c r="ATE224" s="861"/>
      <c r="ATF224" s="862"/>
      <c r="ATG224" s="862"/>
      <c r="ATH224" s="862"/>
      <c r="ATI224" s="862"/>
      <c r="ATJ224" s="863"/>
      <c r="ATK224" s="861"/>
      <c r="ATL224" s="862"/>
      <c r="ATM224" s="862"/>
      <c r="ATN224" s="862"/>
      <c r="ATO224" s="862"/>
      <c r="ATP224" s="863"/>
      <c r="ATQ224" s="861"/>
      <c r="ATR224" s="862"/>
      <c r="ATS224" s="862"/>
      <c r="ATT224" s="862"/>
      <c r="ATU224" s="862"/>
      <c r="ATV224" s="863"/>
      <c r="ATW224" s="861"/>
      <c r="ATX224" s="862"/>
      <c r="ATY224" s="862"/>
      <c r="ATZ224" s="862"/>
      <c r="AUA224" s="862"/>
      <c r="AUB224" s="863"/>
      <c r="AUC224" s="861"/>
      <c r="AUD224" s="862"/>
      <c r="AUE224" s="862"/>
      <c r="AUF224" s="862"/>
      <c r="AUG224" s="862"/>
      <c r="AUH224" s="863"/>
      <c r="AUI224" s="861"/>
      <c r="AUJ224" s="862"/>
      <c r="AUK224" s="862"/>
      <c r="AUL224" s="862"/>
      <c r="AUM224" s="862"/>
      <c r="AUN224" s="863"/>
      <c r="AUO224" s="861"/>
      <c r="AUP224" s="862"/>
      <c r="AUQ224" s="862"/>
      <c r="AUR224" s="862"/>
      <c r="AUS224" s="862"/>
      <c r="AUT224" s="863"/>
      <c r="AUU224" s="861"/>
      <c r="AUV224" s="862"/>
      <c r="AUW224" s="862"/>
      <c r="AUX224" s="862"/>
      <c r="AUY224" s="862"/>
      <c r="AUZ224" s="863"/>
      <c r="AVA224" s="861"/>
      <c r="AVB224" s="862"/>
      <c r="AVC224" s="862"/>
      <c r="AVD224" s="862"/>
      <c r="AVE224" s="862"/>
      <c r="AVF224" s="863"/>
      <c r="AVG224" s="861"/>
      <c r="AVH224" s="862"/>
      <c r="AVI224" s="862"/>
      <c r="AVJ224" s="862"/>
      <c r="AVK224" s="862"/>
      <c r="AVL224" s="863"/>
      <c r="AVM224" s="861"/>
      <c r="AVN224" s="862"/>
      <c r="AVO224" s="862"/>
      <c r="AVP224" s="862"/>
      <c r="AVQ224" s="862"/>
      <c r="AVR224" s="863"/>
      <c r="AVS224" s="861"/>
      <c r="AVT224" s="862"/>
      <c r="AVU224" s="862"/>
      <c r="AVV224" s="862"/>
      <c r="AVW224" s="862"/>
      <c r="AVX224" s="863"/>
      <c r="AVY224" s="861"/>
      <c r="AVZ224" s="862"/>
      <c r="AWA224" s="862"/>
      <c r="AWB224" s="862"/>
      <c r="AWC224" s="862"/>
      <c r="AWD224" s="863"/>
      <c r="AWE224" s="861"/>
      <c r="AWF224" s="862"/>
      <c r="AWG224" s="862"/>
      <c r="AWH224" s="862"/>
      <c r="AWI224" s="862"/>
      <c r="AWJ224" s="863"/>
      <c r="AWK224" s="861"/>
      <c r="AWL224" s="862"/>
      <c r="AWM224" s="862"/>
      <c r="AWN224" s="862"/>
      <c r="AWO224" s="862"/>
      <c r="AWP224" s="863"/>
      <c r="AWQ224" s="861"/>
      <c r="AWR224" s="862"/>
      <c r="AWS224" s="862"/>
      <c r="AWT224" s="862"/>
      <c r="AWU224" s="862"/>
      <c r="AWV224" s="863"/>
      <c r="AWW224" s="861"/>
      <c r="AWX224" s="862"/>
      <c r="AWY224" s="862"/>
      <c r="AWZ224" s="862"/>
      <c r="AXA224" s="862"/>
      <c r="AXB224" s="863"/>
      <c r="AXC224" s="861"/>
      <c r="AXD224" s="862"/>
      <c r="AXE224" s="862"/>
      <c r="AXF224" s="862"/>
      <c r="AXG224" s="862"/>
      <c r="AXH224" s="863"/>
      <c r="AXI224" s="861"/>
      <c r="AXJ224" s="862"/>
      <c r="AXK224" s="862"/>
      <c r="AXL224" s="862"/>
      <c r="AXM224" s="862"/>
      <c r="AXN224" s="863"/>
      <c r="AXO224" s="861"/>
      <c r="AXP224" s="862"/>
      <c r="AXQ224" s="862"/>
      <c r="AXR224" s="862"/>
      <c r="AXS224" s="862"/>
      <c r="AXT224" s="863"/>
      <c r="AXU224" s="861"/>
      <c r="AXV224" s="862"/>
      <c r="AXW224" s="862"/>
      <c r="AXX224" s="862"/>
      <c r="AXY224" s="862"/>
      <c r="AXZ224" s="863"/>
      <c r="AYA224" s="861"/>
      <c r="AYB224" s="862"/>
      <c r="AYC224" s="862"/>
      <c r="AYD224" s="862"/>
      <c r="AYE224" s="862"/>
      <c r="AYF224" s="863"/>
      <c r="AYG224" s="861"/>
      <c r="AYH224" s="862"/>
      <c r="AYI224" s="862"/>
      <c r="AYJ224" s="862"/>
      <c r="AYK224" s="862"/>
      <c r="AYL224" s="863"/>
      <c r="AYM224" s="861"/>
      <c r="AYN224" s="862"/>
      <c r="AYO224" s="862"/>
      <c r="AYP224" s="862"/>
      <c r="AYQ224" s="862"/>
      <c r="AYR224" s="863"/>
      <c r="AYS224" s="861"/>
      <c r="AYT224" s="862"/>
      <c r="AYU224" s="862"/>
      <c r="AYV224" s="862"/>
      <c r="AYW224" s="862"/>
      <c r="AYX224" s="863"/>
      <c r="AYY224" s="861"/>
      <c r="AYZ224" s="862"/>
      <c r="AZA224" s="862"/>
      <c r="AZB224" s="862"/>
      <c r="AZC224" s="862"/>
      <c r="AZD224" s="863"/>
      <c r="AZE224" s="861"/>
      <c r="AZF224" s="862"/>
      <c r="AZG224" s="862"/>
      <c r="AZH224" s="862"/>
      <c r="AZI224" s="862"/>
      <c r="AZJ224" s="863"/>
      <c r="AZK224" s="861"/>
      <c r="AZL224" s="862"/>
      <c r="AZM224" s="862"/>
      <c r="AZN224" s="862"/>
      <c r="AZO224" s="862"/>
      <c r="AZP224" s="863"/>
      <c r="AZQ224" s="861"/>
      <c r="AZR224" s="862"/>
      <c r="AZS224" s="862"/>
      <c r="AZT224" s="862"/>
      <c r="AZU224" s="862"/>
      <c r="AZV224" s="863"/>
      <c r="AZW224" s="861"/>
      <c r="AZX224" s="862"/>
      <c r="AZY224" s="862"/>
      <c r="AZZ224" s="862"/>
      <c r="BAA224" s="862"/>
      <c r="BAB224" s="863"/>
      <c r="BAC224" s="861"/>
      <c r="BAD224" s="862"/>
      <c r="BAE224" s="862"/>
      <c r="BAF224" s="862"/>
      <c r="BAG224" s="862"/>
      <c r="BAH224" s="863"/>
      <c r="BAI224" s="861"/>
      <c r="BAJ224" s="862"/>
      <c r="BAK224" s="862"/>
      <c r="BAL224" s="862"/>
      <c r="BAM224" s="862"/>
      <c r="BAN224" s="863"/>
      <c r="BAO224" s="861"/>
      <c r="BAP224" s="862"/>
      <c r="BAQ224" s="862"/>
      <c r="BAR224" s="862"/>
      <c r="BAS224" s="862"/>
      <c r="BAT224" s="863"/>
      <c r="BAU224" s="861"/>
      <c r="BAV224" s="862"/>
      <c r="BAW224" s="862"/>
      <c r="BAX224" s="862"/>
      <c r="BAY224" s="862"/>
      <c r="BAZ224" s="863"/>
      <c r="BBA224" s="861"/>
      <c r="BBB224" s="862"/>
      <c r="BBC224" s="862"/>
      <c r="BBD224" s="862"/>
      <c r="BBE224" s="862"/>
      <c r="BBF224" s="863"/>
      <c r="BBG224" s="861"/>
      <c r="BBH224" s="862"/>
      <c r="BBI224" s="862"/>
      <c r="BBJ224" s="862"/>
      <c r="BBK224" s="862"/>
      <c r="BBL224" s="863"/>
      <c r="BBM224" s="861"/>
      <c r="BBN224" s="862"/>
      <c r="BBO224" s="862"/>
      <c r="BBP224" s="862"/>
      <c r="BBQ224" s="862"/>
      <c r="BBR224" s="863"/>
      <c r="BBS224" s="861"/>
      <c r="BBT224" s="862"/>
      <c r="BBU224" s="862"/>
      <c r="BBV224" s="862"/>
      <c r="BBW224" s="862"/>
      <c r="BBX224" s="863"/>
      <c r="BBY224" s="861"/>
      <c r="BBZ224" s="862"/>
      <c r="BCA224" s="862"/>
      <c r="BCB224" s="862"/>
      <c r="BCC224" s="862"/>
      <c r="BCD224" s="863"/>
      <c r="BCE224" s="861"/>
      <c r="BCF224" s="862"/>
      <c r="BCG224" s="862"/>
      <c r="BCH224" s="862"/>
      <c r="BCI224" s="862"/>
      <c r="BCJ224" s="863"/>
      <c r="BCK224" s="861"/>
      <c r="BCL224" s="862"/>
      <c r="BCM224" s="862"/>
      <c r="BCN224" s="862"/>
      <c r="BCO224" s="862"/>
      <c r="BCP224" s="863"/>
      <c r="BCQ224" s="861"/>
      <c r="BCR224" s="862"/>
      <c r="BCS224" s="862"/>
      <c r="BCT224" s="862"/>
      <c r="BCU224" s="862"/>
      <c r="BCV224" s="863"/>
      <c r="BCW224" s="861"/>
      <c r="BCX224" s="862"/>
      <c r="BCY224" s="862"/>
      <c r="BCZ224" s="862"/>
      <c r="BDA224" s="862"/>
      <c r="BDB224" s="863"/>
      <c r="BDC224" s="861"/>
      <c r="BDD224" s="862"/>
      <c r="BDE224" s="862"/>
      <c r="BDF224" s="862"/>
      <c r="BDG224" s="862"/>
      <c r="BDH224" s="863"/>
      <c r="BDI224" s="861"/>
      <c r="BDJ224" s="862"/>
      <c r="BDK224" s="862"/>
      <c r="BDL224" s="862"/>
      <c r="BDM224" s="862"/>
      <c r="BDN224" s="863"/>
      <c r="BDO224" s="861"/>
      <c r="BDP224" s="862"/>
      <c r="BDQ224" s="862"/>
      <c r="BDR224" s="862"/>
      <c r="BDS224" s="862"/>
      <c r="BDT224" s="863"/>
      <c r="BDU224" s="861"/>
      <c r="BDV224" s="862"/>
      <c r="BDW224" s="862"/>
      <c r="BDX224" s="862"/>
      <c r="BDY224" s="862"/>
      <c r="BDZ224" s="863"/>
      <c r="BEA224" s="861"/>
      <c r="BEB224" s="862"/>
      <c r="BEC224" s="862"/>
      <c r="BED224" s="862"/>
      <c r="BEE224" s="862"/>
      <c r="BEF224" s="863"/>
      <c r="BEG224" s="861"/>
      <c r="BEH224" s="862"/>
      <c r="BEI224" s="862"/>
      <c r="BEJ224" s="862"/>
      <c r="BEK224" s="862"/>
      <c r="BEL224" s="863"/>
      <c r="BEM224" s="861"/>
      <c r="BEN224" s="862"/>
      <c r="BEO224" s="862"/>
      <c r="BEP224" s="862"/>
      <c r="BEQ224" s="862"/>
      <c r="BER224" s="863"/>
      <c r="BES224" s="861"/>
      <c r="BET224" s="862"/>
      <c r="BEU224" s="862"/>
      <c r="BEV224" s="862"/>
      <c r="BEW224" s="862"/>
      <c r="BEX224" s="863"/>
      <c r="BEY224" s="861"/>
      <c r="BEZ224" s="862"/>
      <c r="BFA224" s="862"/>
      <c r="BFB224" s="862"/>
      <c r="BFC224" s="862"/>
      <c r="BFD224" s="863"/>
      <c r="BFE224" s="861"/>
      <c r="BFF224" s="862"/>
      <c r="BFG224" s="862"/>
      <c r="BFH224" s="862"/>
      <c r="BFI224" s="862"/>
      <c r="BFJ224" s="863"/>
      <c r="BFK224" s="861"/>
      <c r="BFL224" s="862"/>
      <c r="BFM224" s="862"/>
      <c r="BFN224" s="862"/>
      <c r="BFO224" s="862"/>
      <c r="BFP224" s="863"/>
      <c r="BFQ224" s="861"/>
      <c r="BFR224" s="862"/>
      <c r="BFS224" s="862"/>
      <c r="BFT224" s="862"/>
      <c r="BFU224" s="862"/>
      <c r="BFV224" s="863"/>
      <c r="BFW224" s="861"/>
      <c r="BFX224" s="862"/>
      <c r="BFY224" s="862"/>
      <c r="BFZ224" s="862"/>
      <c r="BGA224" s="862"/>
      <c r="BGB224" s="863"/>
      <c r="BGC224" s="861"/>
      <c r="BGD224" s="862"/>
      <c r="BGE224" s="862"/>
      <c r="BGF224" s="862"/>
      <c r="BGG224" s="862"/>
      <c r="BGH224" s="863"/>
      <c r="BGI224" s="861"/>
      <c r="BGJ224" s="862"/>
      <c r="BGK224" s="862"/>
      <c r="BGL224" s="862"/>
      <c r="BGM224" s="862"/>
      <c r="BGN224" s="863"/>
      <c r="BGO224" s="861"/>
      <c r="BGP224" s="862"/>
      <c r="BGQ224" s="862"/>
      <c r="BGR224" s="862"/>
      <c r="BGS224" s="862"/>
      <c r="BGT224" s="863"/>
      <c r="BGU224" s="861"/>
      <c r="BGV224" s="862"/>
      <c r="BGW224" s="862"/>
      <c r="BGX224" s="862"/>
      <c r="BGY224" s="862"/>
      <c r="BGZ224" s="863"/>
      <c r="BHA224" s="861"/>
      <c r="BHB224" s="862"/>
      <c r="BHC224" s="862"/>
      <c r="BHD224" s="862"/>
      <c r="BHE224" s="862"/>
      <c r="BHF224" s="863"/>
      <c r="BHG224" s="861"/>
      <c r="BHH224" s="862"/>
      <c r="BHI224" s="862"/>
      <c r="BHJ224" s="862"/>
      <c r="BHK224" s="862"/>
      <c r="BHL224" s="863"/>
      <c r="BHM224" s="861"/>
      <c r="BHN224" s="862"/>
      <c r="BHO224" s="862"/>
      <c r="BHP224" s="862"/>
      <c r="BHQ224" s="862"/>
      <c r="BHR224" s="863"/>
      <c r="BHS224" s="861"/>
      <c r="BHT224" s="862"/>
      <c r="BHU224" s="862"/>
      <c r="BHV224" s="862"/>
      <c r="BHW224" s="862"/>
      <c r="BHX224" s="863"/>
      <c r="BHY224" s="861"/>
      <c r="BHZ224" s="862"/>
      <c r="BIA224" s="862"/>
      <c r="BIB224" s="862"/>
      <c r="BIC224" s="862"/>
      <c r="BID224" s="863"/>
      <c r="BIE224" s="861"/>
      <c r="BIF224" s="862"/>
      <c r="BIG224" s="862"/>
      <c r="BIH224" s="862"/>
      <c r="BII224" s="862"/>
      <c r="BIJ224" s="863"/>
      <c r="BIK224" s="861"/>
      <c r="BIL224" s="862"/>
      <c r="BIM224" s="862"/>
      <c r="BIN224" s="862"/>
      <c r="BIO224" s="862"/>
      <c r="BIP224" s="863"/>
      <c r="BIQ224" s="861"/>
      <c r="BIR224" s="862"/>
      <c r="BIS224" s="862"/>
      <c r="BIT224" s="862"/>
      <c r="BIU224" s="862"/>
      <c r="BIV224" s="863"/>
      <c r="BIW224" s="861"/>
      <c r="BIX224" s="862"/>
      <c r="BIY224" s="862"/>
      <c r="BIZ224" s="862"/>
      <c r="BJA224" s="862"/>
      <c r="BJB224" s="863"/>
      <c r="BJC224" s="861"/>
      <c r="BJD224" s="862"/>
      <c r="BJE224" s="862"/>
      <c r="BJF224" s="862"/>
      <c r="BJG224" s="862"/>
      <c r="BJH224" s="863"/>
      <c r="BJI224" s="861"/>
      <c r="BJJ224" s="862"/>
      <c r="BJK224" s="862"/>
      <c r="BJL224" s="862"/>
      <c r="BJM224" s="862"/>
      <c r="BJN224" s="863"/>
      <c r="BJO224" s="861"/>
      <c r="BJP224" s="862"/>
      <c r="BJQ224" s="862"/>
      <c r="BJR224" s="862"/>
      <c r="BJS224" s="862"/>
      <c r="BJT224" s="863"/>
      <c r="BJU224" s="861"/>
      <c r="BJV224" s="862"/>
      <c r="BJW224" s="862"/>
      <c r="BJX224" s="862"/>
      <c r="BJY224" s="862"/>
      <c r="BJZ224" s="863"/>
      <c r="BKA224" s="861"/>
      <c r="BKB224" s="862"/>
      <c r="BKC224" s="862"/>
      <c r="BKD224" s="862"/>
      <c r="BKE224" s="862"/>
      <c r="BKF224" s="863"/>
      <c r="BKG224" s="861"/>
      <c r="BKH224" s="862"/>
      <c r="BKI224" s="862"/>
      <c r="BKJ224" s="862"/>
      <c r="BKK224" s="862"/>
      <c r="BKL224" s="863"/>
      <c r="BKM224" s="861"/>
      <c r="BKN224" s="862"/>
      <c r="BKO224" s="862"/>
      <c r="BKP224" s="862"/>
      <c r="BKQ224" s="862"/>
      <c r="BKR224" s="863"/>
      <c r="BKS224" s="861"/>
      <c r="BKT224" s="862"/>
      <c r="BKU224" s="862"/>
      <c r="BKV224" s="862"/>
      <c r="BKW224" s="862"/>
      <c r="BKX224" s="863"/>
      <c r="BKY224" s="861"/>
      <c r="BKZ224" s="862"/>
      <c r="BLA224" s="862"/>
      <c r="BLB224" s="862"/>
      <c r="BLC224" s="862"/>
      <c r="BLD224" s="863"/>
      <c r="BLE224" s="861"/>
      <c r="BLF224" s="862"/>
      <c r="BLG224" s="862"/>
      <c r="BLH224" s="862"/>
      <c r="BLI224" s="862"/>
      <c r="BLJ224" s="863"/>
      <c r="BLK224" s="861"/>
      <c r="BLL224" s="862"/>
      <c r="BLM224" s="862"/>
      <c r="BLN224" s="862"/>
      <c r="BLO224" s="862"/>
      <c r="BLP224" s="863"/>
      <c r="BLQ224" s="861"/>
      <c r="BLR224" s="862"/>
      <c r="BLS224" s="862"/>
      <c r="BLT224" s="862"/>
      <c r="BLU224" s="862"/>
      <c r="BLV224" s="863"/>
      <c r="BLW224" s="861"/>
      <c r="BLX224" s="862"/>
      <c r="BLY224" s="862"/>
      <c r="BLZ224" s="862"/>
      <c r="BMA224" s="862"/>
      <c r="BMB224" s="863"/>
      <c r="BMC224" s="861"/>
      <c r="BMD224" s="862"/>
      <c r="BME224" s="862"/>
      <c r="BMF224" s="862"/>
      <c r="BMG224" s="862"/>
      <c r="BMH224" s="863"/>
      <c r="BMI224" s="861"/>
      <c r="BMJ224" s="862"/>
      <c r="BMK224" s="862"/>
      <c r="BML224" s="862"/>
      <c r="BMM224" s="862"/>
      <c r="BMN224" s="863"/>
      <c r="BMO224" s="861"/>
      <c r="BMP224" s="862"/>
      <c r="BMQ224" s="862"/>
      <c r="BMR224" s="862"/>
      <c r="BMS224" s="862"/>
      <c r="BMT224" s="863"/>
      <c r="BMU224" s="861"/>
      <c r="BMV224" s="862"/>
      <c r="BMW224" s="862"/>
      <c r="BMX224" s="862"/>
      <c r="BMY224" s="862"/>
      <c r="BMZ224" s="863"/>
      <c r="BNA224" s="861"/>
      <c r="BNB224" s="862"/>
      <c r="BNC224" s="862"/>
      <c r="BND224" s="862"/>
      <c r="BNE224" s="862"/>
      <c r="BNF224" s="863"/>
      <c r="BNG224" s="861"/>
      <c r="BNH224" s="862"/>
      <c r="BNI224" s="862"/>
      <c r="BNJ224" s="862"/>
      <c r="BNK224" s="862"/>
      <c r="BNL224" s="863"/>
      <c r="BNM224" s="861"/>
      <c r="BNN224" s="862"/>
      <c r="BNO224" s="862"/>
      <c r="BNP224" s="862"/>
      <c r="BNQ224" s="862"/>
      <c r="BNR224" s="863"/>
      <c r="BNS224" s="861"/>
      <c r="BNT224" s="862"/>
      <c r="BNU224" s="862"/>
      <c r="BNV224" s="862"/>
      <c r="BNW224" s="862"/>
      <c r="BNX224" s="863"/>
      <c r="BNY224" s="861"/>
      <c r="BNZ224" s="862"/>
      <c r="BOA224" s="862"/>
      <c r="BOB224" s="862"/>
      <c r="BOC224" s="862"/>
      <c r="BOD224" s="863"/>
      <c r="BOE224" s="861"/>
      <c r="BOF224" s="862"/>
      <c r="BOG224" s="862"/>
      <c r="BOH224" s="862"/>
      <c r="BOI224" s="862"/>
      <c r="BOJ224" s="863"/>
      <c r="BOK224" s="861"/>
      <c r="BOL224" s="862"/>
      <c r="BOM224" s="862"/>
      <c r="BON224" s="862"/>
      <c r="BOO224" s="862"/>
      <c r="BOP224" s="863"/>
      <c r="BOQ224" s="861"/>
      <c r="BOR224" s="862"/>
      <c r="BOS224" s="862"/>
      <c r="BOT224" s="862"/>
      <c r="BOU224" s="862"/>
      <c r="BOV224" s="863"/>
      <c r="BOW224" s="861"/>
      <c r="BOX224" s="862"/>
      <c r="BOY224" s="862"/>
      <c r="BOZ224" s="862"/>
      <c r="BPA224" s="862"/>
      <c r="BPB224" s="863"/>
      <c r="BPC224" s="861"/>
      <c r="BPD224" s="862"/>
      <c r="BPE224" s="862"/>
      <c r="BPF224" s="862"/>
      <c r="BPG224" s="862"/>
      <c r="BPH224" s="863"/>
      <c r="BPI224" s="861"/>
      <c r="BPJ224" s="862"/>
      <c r="BPK224" s="862"/>
      <c r="BPL224" s="862"/>
      <c r="BPM224" s="862"/>
      <c r="BPN224" s="863"/>
      <c r="BPO224" s="861"/>
      <c r="BPP224" s="862"/>
      <c r="BPQ224" s="862"/>
      <c r="BPR224" s="862"/>
      <c r="BPS224" s="862"/>
      <c r="BPT224" s="863"/>
      <c r="BPU224" s="861"/>
      <c r="BPV224" s="862"/>
      <c r="BPW224" s="862"/>
      <c r="BPX224" s="862"/>
      <c r="BPY224" s="862"/>
      <c r="BPZ224" s="863"/>
      <c r="BQA224" s="861"/>
      <c r="BQB224" s="862"/>
      <c r="BQC224" s="862"/>
      <c r="BQD224" s="862"/>
      <c r="BQE224" s="862"/>
      <c r="BQF224" s="863"/>
      <c r="BQG224" s="861"/>
      <c r="BQH224" s="862"/>
      <c r="BQI224" s="862"/>
      <c r="BQJ224" s="862"/>
      <c r="BQK224" s="862"/>
      <c r="BQL224" s="863"/>
      <c r="BQM224" s="861"/>
      <c r="BQN224" s="862"/>
      <c r="BQO224" s="862"/>
      <c r="BQP224" s="862"/>
      <c r="BQQ224" s="862"/>
      <c r="BQR224" s="863"/>
      <c r="BQS224" s="861"/>
      <c r="BQT224" s="862"/>
      <c r="BQU224" s="862"/>
      <c r="BQV224" s="862"/>
      <c r="BQW224" s="862"/>
      <c r="BQX224" s="863"/>
      <c r="BQY224" s="861"/>
      <c r="BQZ224" s="862"/>
      <c r="BRA224" s="862"/>
      <c r="BRB224" s="862"/>
      <c r="BRC224" s="862"/>
      <c r="BRD224" s="863"/>
      <c r="BRE224" s="861"/>
      <c r="BRF224" s="862"/>
      <c r="BRG224" s="862"/>
      <c r="BRH224" s="862"/>
      <c r="BRI224" s="862"/>
      <c r="BRJ224" s="863"/>
      <c r="BRK224" s="861"/>
      <c r="BRL224" s="862"/>
      <c r="BRM224" s="862"/>
      <c r="BRN224" s="862"/>
      <c r="BRO224" s="862"/>
      <c r="BRP224" s="863"/>
      <c r="BRQ224" s="861"/>
      <c r="BRR224" s="862"/>
      <c r="BRS224" s="862"/>
      <c r="BRT224" s="862"/>
      <c r="BRU224" s="862"/>
      <c r="BRV224" s="863"/>
      <c r="BRW224" s="861"/>
      <c r="BRX224" s="862"/>
      <c r="BRY224" s="862"/>
      <c r="BRZ224" s="862"/>
      <c r="BSA224" s="862"/>
      <c r="BSB224" s="863"/>
      <c r="BSC224" s="861"/>
      <c r="BSD224" s="862"/>
      <c r="BSE224" s="862"/>
      <c r="BSF224" s="862"/>
      <c r="BSG224" s="862"/>
      <c r="BSH224" s="863"/>
      <c r="BSI224" s="861"/>
      <c r="BSJ224" s="862"/>
      <c r="BSK224" s="862"/>
      <c r="BSL224" s="862"/>
      <c r="BSM224" s="862"/>
      <c r="BSN224" s="863"/>
      <c r="BSO224" s="861"/>
      <c r="BSP224" s="862"/>
      <c r="BSQ224" s="862"/>
      <c r="BSR224" s="862"/>
      <c r="BSS224" s="862"/>
      <c r="BST224" s="863"/>
      <c r="BSU224" s="861"/>
      <c r="BSV224" s="862"/>
      <c r="BSW224" s="862"/>
      <c r="BSX224" s="862"/>
      <c r="BSY224" s="862"/>
      <c r="BSZ224" s="863"/>
      <c r="BTA224" s="861"/>
      <c r="BTB224" s="862"/>
      <c r="BTC224" s="862"/>
      <c r="BTD224" s="862"/>
      <c r="BTE224" s="862"/>
      <c r="BTF224" s="863"/>
      <c r="BTG224" s="861"/>
      <c r="BTH224" s="862"/>
      <c r="BTI224" s="862"/>
      <c r="BTJ224" s="862"/>
      <c r="BTK224" s="862"/>
      <c r="BTL224" s="863"/>
      <c r="BTM224" s="861"/>
      <c r="BTN224" s="862"/>
      <c r="BTO224" s="862"/>
      <c r="BTP224" s="862"/>
      <c r="BTQ224" s="862"/>
      <c r="BTR224" s="863"/>
      <c r="BTS224" s="861"/>
      <c r="BTT224" s="862"/>
      <c r="BTU224" s="862"/>
      <c r="BTV224" s="862"/>
      <c r="BTW224" s="862"/>
      <c r="BTX224" s="863"/>
      <c r="BTY224" s="861"/>
      <c r="BTZ224" s="862"/>
      <c r="BUA224" s="862"/>
      <c r="BUB224" s="862"/>
      <c r="BUC224" s="862"/>
      <c r="BUD224" s="863"/>
      <c r="BUE224" s="861"/>
      <c r="BUF224" s="862"/>
      <c r="BUG224" s="862"/>
      <c r="BUH224" s="862"/>
      <c r="BUI224" s="862"/>
      <c r="BUJ224" s="863"/>
      <c r="BUK224" s="861"/>
      <c r="BUL224" s="862"/>
      <c r="BUM224" s="862"/>
      <c r="BUN224" s="862"/>
      <c r="BUO224" s="862"/>
      <c r="BUP224" s="863"/>
      <c r="BUQ224" s="861"/>
      <c r="BUR224" s="862"/>
      <c r="BUS224" s="862"/>
      <c r="BUT224" s="862"/>
      <c r="BUU224" s="862"/>
      <c r="BUV224" s="863"/>
      <c r="BUW224" s="861"/>
      <c r="BUX224" s="862"/>
      <c r="BUY224" s="862"/>
      <c r="BUZ224" s="862"/>
      <c r="BVA224" s="862"/>
      <c r="BVB224" s="863"/>
      <c r="BVC224" s="861"/>
      <c r="BVD224" s="862"/>
      <c r="BVE224" s="862"/>
      <c r="BVF224" s="862"/>
      <c r="BVG224" s="862"/>
      <c r="BVH224" s="863"/>
      <c r="BVI224" s="861"/>
      <c r="BVJ224" s="862"/>
      <c r="BVK224" s="862"/>
      <c r="BVL224" s="862"/>
      <c r="BVM224" s="862"/>
      <c r="BVN224" s="863"/>
      <c r="BVO224" s="861"/>
      <c r="BVP224" s="862"/>
      <c r="BVQ224" s="862"/>
      <c r="BVR224" s="862"/>
      <c r="BVS224" s="862"/>
      <c r="BVT224" s="863"/>
      <c r="BVU224" s="861"/>
      <c r="BVV224" s="862"/>
      <c r="BVW224" s="862"/>
      <c r="BVX224" s="862"/>
      <c r="BVY224" s="862"/>
      <c r="BVZ224" s="863"/>
      <c r="BWA224" s="861"/>
      <c r="BWB224" s="862"/>
      <c r="BWC224" s="862"/>
      <c r="BWD224" s="862"/>
      <c r="BWE224" s="862"/>
      <c r="BWF224" s="863"/>
      <c r="BWG224" s="861"/>
      <c r="BWH224" s="862"/>
      <c r="BWI224" s="862"/>
      <c r="BWJ224" s="862"/>
      <c r="BWK224" s="862"/>
      <c r="BWL224" s="863"/>
      <c r="BWM224" s="861"/>
      <c r="BWN224" s="862"/>
      <c r="BWO224" s="862"/>
      <c r="BWP224" s="862"/>
      <c r="BWQ224" s="862"/>
      <c r="BWR224" s="863"/>
      <c r="BWS224" s="861"/>
      <c r="BWT224" s="862"/>
      <c r="BWU224" s="862"/>
      <c r="BWV224" s="862"/>
      <c r="BWW224" s="862"/>
      <c r="BWX224" s="863"/>
      <c r="BWY224" s="861"/>
      <c r="BWZ224" s="862"/>
      <c r="BXA224" s="862"/>
      <c r="BXB224" s="862"/>
      <c r="BXC224" s="862"/>
      <c r="BXD224" s="863"/>
      <c r="BXE224" s="861"/>
      <c r="BXF224" s="862"/>
      <c r="BXG224" s="862"/>
      <c r="BXH224" s="862"/>
      <c r="BXI224" s="862"/>
      <c r="BXJ224" s="863"/>
      <c r="BXK224" s="861"/>
      <c r="BXL224" s="862"/>
      <c r="BXM224" s="862"/>
      <c r="BXN224" s="862"/>
      <c r="BXO224" s="862"/>
      <c r="BXP224" s="863"/>
      <c r="BXQ224" s="861"/>
      <c r="BXR224" s="862"/>
      <c r="BXS224" s="862"/>
      <c r="BXT224" s="862"/>
      <c r="BXU224" s="862"/>
      <c r="BXV224" s="863"/>
      <c r="BXW224" s="861"/>
      <c r="BXX224" s="862"/>
      <c r="BXY224" s="862"/>
      <c r="BXZ224" s="862"/>
      <c r="BYA224" s="862"/>
      <c r="BYB224" s="863"/>
      <c r="BYC224" s="861"/>
      <c r="BYD224" s="862"/>
      <c r="BYE224" s="862"/>
      <c r="BYF224" s="862"/>
      <c r="BYG224" s="862"/>
      <c r="BYH224" s="863"/>
      <c r="BYI224" s="861"/>
      <c r="BYJ224" s="862"/>
      <c r="BYK224" s="862"/>
      <c r="BYL224" s="862"/>
      <c r="BYM224" s="862"/>
      <c r="BYN224" s="863"/>
      <c r="BYO224" s="861"/>
      <c r="BYP224" s="862"/>
      <c r="BYQ224" s="862"/>
      <c r="BYR224" s="862"/>
      <c r="BYS224" s="862"/>
      <c r="BYT224" s="863"/>
      <c r="BYU224" s="861"/>
      <c r="BYV224" s="862"/>
      <c r="BYW224" s="862"/>
      <c r="BYX224" s="862"/>
      <c r="BYY224" s="862"/>
      <c r="BYZ224" s="863"/>
      <c r="BZA224" s="861"/>
      <c r="BZB224" s="862"/>
      <c r="BZC224" s="862"/>
      <c r="BZD224" s="862"/>
      <c r="BZE224" s="862"/>
      <c r="BZF224" s="863"/>
      <c r="BZG224" s="861"/>
      <c r="BZH224" s="862"/>
      <c r="BZI224" s="862"/>
      <c r="BZJ224" s="862"/>
      <c r="BZK224" s="862"/>
      <c r="BZL224" s="863"/>
      <c r="BZM224" s="861"/>
      <c r="BZN224" s="862"/>
      <c r="BZO224" s="862"/>
      <c r="BZP224" s="862"/>
      <c r="BZQ224" s="862"/>
      <c r="BZR224" s="863"/>
      <c r="BZS224" s="861"/>
      <c r="BZT224" s="862"/>
      <c r="BZU224" s="862"/>
      <c r="BZV224" s="862"/>
      <c r="BZW224" s="862"/>
      <c r="BZX224" s="863"/>
      <c r="BZY224" s="861"/>
      <c r="BZZ224" s="862"/>
      <c r="CAA224" s="862"/>
      <c r="CAB224" s="862"/>
      <c r="CAC224" s="862"/>
      <c r="CAD224" s="863"/>
      <c r="CAE224" s="861"/>
      <c r="CAF224" s="862"/>
      <c r="CAG224" s="862"/>
      <c r="CAH224" s="862"/>
      <c r="CAI224" s="862"/>
      <c r="CAJ224" s="863"/>
      <c r="CAK224" s="861"/>
      <c r="CAL224" s="862"/>
      <c r="CAM224" s="862"/>
      <c r="CAN224" s="862"/>
      <c r="CAO224" s="862"/>
      <c r="CAP224" s="863"/>
      <c r="CAQ224" s="861"/>
      <c r="CAR224" s="862"/>
      <c r="CAS224" s="862"/>
      <c r="CAT224" s="862"/>
      <c r="CAU224" s="862"/>
      <c r="CAV224" s="863"/>
      <c r="CAW224" s="861"/>
      <c r="CAX224" s="862"/>
      <c r="CAY224" s="862"/>
      <c r="CAZ224" s="862"/>
      <c r="CBA224" s="862"/>
      <c r="CBB224" s="863"/>
      <c r="CBC224" s="861"/>
      <c r="CBD224" s="862"/>
      <c r="CBE224" s="862"/>
      <c r="CBF224" s="862"/>
      <c r="CBG224" s="862"/>
      <c r="CBH224" s="863"/>
      <c r="CBI224" s="861"/>
      <c r="CBJ224" s="862"/>
      <c r="CBK224" s="862"/>
      <c r="CBL224" s="862"/>
      <c r="CBM224" s="862"/>
      <c r="CBN224" s="863"/>
      <c r="CBO224" s="861"/>
      <c r="CBP224" s="862"/>
      <c r="CBQ224" s="862"/>
      <c r="CBR224" s="862"/>
      <c r="CBS224" s="862"/>
      <c r="CBT224" s="863"/>
      <c r="CBU224" s="861"/>
      <c r="CBV224" s="862"/>
      <c r="CBW224" s="862"/>
      <c r="CBX224" s="862"/>
      <c r="CBY224" s="862"/>
      <c r="CBZ224" s="863"/>
      <c r="CCA224" s="861"/>
      <c r="CCB224" s="862"/>
      <c r="CCC224" s="862"/>
      <c r="CCD224" s="862"/>
      <c r="CCE224" s="862"/>
      <c r="CCF224" s="863"/>
      <c r="CCG224" s="861"/>
      <c r="CCH224" s="862"/>
      <c r="CCI224" s="862"/>
      <c r="CCJ224" s="862"/>
      <c r="CCK224" s="862"/>
      <c r="CCL224" s="863"/>
      <c r="CCM224" s="861"/>
      <c r="CCN224" s="862"/>
      <c r="CCO224" s="862"/>
      <c r="CCP224" s="862"/>
      <c r="CCQ224" s="862"/>
      <c r="CCR224" s="863"/>
      <c r="CCS224" s="861"/>
      <c r="CCT224" s="862"/>
      <c r="CCU224" s="862"/>
      <c r="CCV224" s="862"/>
      <c r="CCW224" s="862"/>
      <c r="CCX224" s="863"/>
      <c r="CCY224" s="861"/>
      <c r="CCZ224" s="862"/>
      <c r="CDA224" s="862"/>
      <c r="CDB224" s="862"/>
      <c r="CDC224" s="862"/>
      <c r="CDD224" s="863"/>
      <c r="CDE224" s="861"/>
      <c r="CDF224" s="862"/>
      <c r="CDG224" s="862"/>
      <c r="CDH224" s="862"/>
      <c r="CDI224" s="862"/>
      <c r="CDJ224" s="863"/>
      <c r="CDK224" s="861"/>
      <c r="CDL224" s="862"/>
      <c r="CDM224" s="862"/>
      <c r="CDN224" s="862"/>
      <c r="CDO224" s="862"/>
      <c r="CDP224" s="863"/>
      <c r="CDQ224" s="861"/>
      <c r="CDR224" s="862"/>
      <c r="CDS224" s="862"/>
      <c r="CDT224" s="862"/>
      <c r="CDU224" s="862"/>
      <c r="CDV224" s="863"/>
      <c r="CDW224" s="861"/>
      <c r="CDX224" s="862"/>
      <c r="CDY224" s="862"/>
      <c r="CDZ224" s="862"/>
      <c r="CEA224" s="862"/>
      <c r="CEB224" s="863"/>
      <c r="CEC224" s="861"/>
      <c r="CED224" s="862"/>
      <c r="CEE224" s="862"/>
      <c r="CEF224" s="862"/>
      <c r="CEG224" s="862"/>
      <c r="CEH224" s="863"/>
      <c r="CEI224" s="861"/>
      <c r="CEJ224" s="862"/>
      <c r="CEK224" s="862"/>
      <c r="CEL224" s="862"/>
      <c r="CEM224" s="862"/>
      <c r="CEN224" s="863"/>
      <c r="CEO224" s="861"/>
      <c r="CEP224" s="862"/>
      <c r="CEQ224" s="862"/>
      <c r="CER224" s="862"/>
      <c r="CES224" s="862"/>
      <c r="CET224" s="863"/>
      <c r="CEU224" s="861"/>
      <c r="CEV224" s="862"/>
      <c r="CEW224" s="862"/>
      <c r="CEX224" s="862"/>
      <c r="CEY224" s="862"/>
      <c r="CEZ224" s="863"/>
      <c r="CFA224" s="861"/>
      <c r="CFB224" s="862"/>
      <c r="CFC224" s="862"/>
      <c r="CFD224" s="862"/>
      <c r="CFE224" s="862"/>
      <c r="CFF224" s="863"/>
      <c r="CFG224" s="861"/>
      <c r="CFH224" s="862"/>
      <c r="CFI224" s="862"/>
      <c r="CFJ224" s="862"/>
      <c r="CFK224" s="862"/>
      <c r="CFL224" s="863"/>
      <c r="CFM224" s="861"/>
      <c r="CFN224" s="862"/>
      <c r="CFO224" s="862"/>
      <c r="CFP224" s="862"/>
      <c r="CFQ224" s="862"/>
      <c r="CFR224" s="863"/>
      <c r="CFS224" s="861"/>
      <c r="CFT224" s="862"/>
      <c r="CFU224" s="862"/>
      <c r="CFV224" s="862"/>
      <c r="CFW224" s="862"/>
      <c r="CFX224" s="863"/>
      <c r="CFY224" s="861"/>
      <c r="CFZ224" s="862"/>
      <c r="CGA224" s="862"/>
      <c r="CGB224" s="862"/>
      <c r="CGC224" s="862"/>
      <c r="CGD224" s="863"/>
      <c r="CGE224" s="861"/>
      <c r="CGF224" s="862"/>
      <c r="CGG224" s="862"/>
      <c r="CGH224" s="862"/>
      <c r="CGI224" s="862"/>
      <c r="CGJ224" s="863"/>
      <c r="CGK224" s="861"/>
      <c r="CGL224" s="862"/>
      <c r="CGM224" s="862"/>
      <c r="CGN224" s="862"/>
      <c r="CGO224" s="862"/>
      <c r="CGP224" s="863"/>
      <c r="CGQ224" s="861"/>
      <c r="CGR224" s="862"/>
      <c r="CGS224" s="862"/>
      <c r="CGT224" s="862"/>
      <c r="CGU224" s="862"/>
      <c r="CGV224" s="863"/>
      <c r="CGW224" s="861"/>
      <c r="CGX224" s="862"/>
      <c r="CGY224" s="862"/>
      <c r="CGZ224" s="862"/>
      <c r="CHA224" s="862"/>
      <c r="CHB224" s="863"/>
      <c r="CHC224" s="861"/>
      <c r="CHD224" s="862"/>
      <c r="CHE224" s="862"/>
      <c r="CHF224" s="862"/>
      <c r="CHG224" s="862"/>
      <c r="CHH224" s="863"/>
      <c r="CHI224" s="861"/>
      <c r="CHJ224" s="862"/>
      <c r="CHK224" s="862"/>
      <c r="CHL224" s="862"/>
      <c r="CHM224" s="862"/>
      <c r="CHN224" s="863"/>
      <c r="CHO224" s="861"/>
      <c r="CHP224" s="862"/>
      <c r="CHQ224" s="862"/>
      <c r="CHR224" s="862"/>
      <c r="CHS224" s="862"/>
      <c r="CHT224" s="863"/>
      <c r="CHU224" s="861"/>
      <c r="CHV224" s="862"/>
      <c r="CHW224" s="862"/>
      <c r="CHX224" s="862"/>
      <c r="CHY224" s="862"/>
      <c r="CHZ224" s="863"/>
      <c r="CIA224" s="861"/>
      <c r="CIB224" s="862"/>
      <c r="CIC224" s="862"/>
      <c r="CID224" s="862"/>
      <c r="CIE224" s="862"/>
      <c r="CIF224" s="863"/>
      <c r="CIG224" s="861"/>
      <c r="CIH224" s="862"/>
      <c r="CII224" s="862"/>
      <c r="CIJ224" s="862"/>
      <c r="CIK224" s="862"/>
      <c r="CIL224" s="863"/>
      <c r="CIM224" s="861"/>
      <c r="CIN224" s="862"/>
      <c r="CIO224" s="862"/>
      <c r="CIP224" s="862"/>
      <c r="CIQ224" s="862"/>
      <c r="CIR224" s="863"/>
      <c r="CIS224" s="861"/>
      <c r="CIT224" s="862"/>
      <c r="CIU224" s="862"/>
      <c r="CIV224" s="862"/>
      <c r="CIW224" s="862"/>
      <c r="CIX224" s="863"/>
      <c r="CIY224" s="861"/>
      <c r="CIZ224" s="862"/>
      <c r="CJA224" s="862"/>
      <c r="CJB224" s="862"/>
      <c r="CJC224" s="862"/>
      <c r="CJD224" s="863"/>
      <c r="CJE224" s="861"/>
      <c r="CJF224" s="862"/>
      <c r="CJG224" s="862"/>
      <c r="CJH224" s="862"/>
      <c r="CJI224" s="862"/>
      <c r="CJJ224" s="863"/>
      <c r="CJK224" s="861"/>
      <c r="CJL224" s="862"/>
      <c r="CJM224" s="862"/>
      <c r="CJN224" s="862"/>
      <c r="CJO224" s="862"/>
      <c r="CJP224" s="863"/>
      <c r="CJQ224" s="861"/>
      <c r="CJR224" s="862"/>
      <c r="CJS224" s="862"/>
      <c r="CJT224" s="862"/>
      <c r="CJU224" s="862"/>
      <c r="CJV224" s="863"/>
      <c r="CJW224" s="861"/>
      <c r="CJX224" s="862"/>
      <c r="CJY224" s="862"/>
      <c r="CJZ224" s="862"/>
      <c r="CKA224" s="862"/>
      <c r="CKB224" s="863"/>
      <c r="CKC224" s="861"/>
      <c r="CKD224" s="862"/>
      <c r="CKE224" s="862"/>
      <c r="CKF224" s="862"/>
      <c r="CKG224" s="862"/>
      <c r="CKH224" s="863"/>
      <c r="CKI224" s="861"/>
      <c r="CKJ224" s="862"/>
      <c r="CKK224" s="862"/>
      <c r="CKL224" s="862"/>
      <c r="CKM224" s="862"/>
      <c r="CKN224" s="863"/>
      <c r="CKO224" s="861"/>
      <c r="CKP224" s="862"/>
      <c r="CKQ224" s="862"/>
      <c r="CKR224" s="862"/>
      <c r="CKS224" s="862"/>
      <c r="CKT224" s="863"/>
      <c r="CKU224" s="861"/>
      <c r="CKV224" s="862"/>
      <c r="CKW224" s="862"/>
      <c r="CKX224" s="862"/>
      <c r="CKY224" s="862"/>
      <c r="CKZ224" s="863"/>
      <c r="CLA224" s="861"/>
      <c r="CLB224" s="862"/>
      <c r="CLC224" s="862"/>
      <c r="CLD224" s="862"/>
      <c r="CLE224" s="862"/>
      <c r="CLF224" s="863"/>
      <c r="CLG224" s="861"/>
      <c r="CLH224" s="862"/>
      <c r="CLI224" s="862"/>
      <c r="CLJ224" s="862"/>
      <c r="CLK224" s="862"/>
      <c r="CLL224" s="863"/>
      <c r="CLM224" s="861"/>
      <c r="CLN224" s="862"/>
      <c r="CLO224" s="862"/>
      <c r="CLP224" s="862"/>
      <c r="CLQ224" s="862"/>
      <c r="CLR224" s="863"/>
      <c r="CLS224" s="861"/>
      <c r="CLT224" s="862"/>
      <c r="CLU224" s="862"/>
      <c r="CLV224" s="862"/>
      <c r="CLW224" s="862"/>
      <c r="CLX224" s="863"/>
      <c r="CLY224" s="861"/>
      <c r="CLZ224" s="862"/>
      <c r="CMA224" s="862"/>
      <c r="CMB224" s="862"/>
      <c r="CMC224" s="862"/>
      <c r="CMD224" s="863"/>
      <c r="CME224" s="861"/>
      <c r="CMF224" s="862"/>
      <c r="CMG224" s="862"/>
      <c r="CMH224" s="862"/>
      <c r="CMI224" s="862"/>
      <c r="CMJ224" s="863"/>
      <c r="CMK224" s="861"/>
      <c r="CML224" s="862"/>
      <c r="CMM224" s="862"/>
      <c r="CMN224" s="862"/>
      <c r="CMO224" s="862"/>
      <c r="CMP224" s="863"/>
      <c r="CMQ224" s="861"/>
      <c r="CMR224" s="862"/>
      <c r="CMS224" s="862"/>
      <c r="CMT224" s="862"/>
      <c r="CMU224" s="862"/>
      <c r="CMV224" s="863"/>
      <c r="CMW224" s="861"/>
      <c r="CMX224" s="862"/>
      <c r="CMY224" s="862"/>
      <c r="CMZ224" s="862"/>
      <c r="CNA224" s="862"/>
      <c r="CNB224" s="863"/>
      <c r="CNC224" s="861"/>
      <c r="CND224" s="862"/>
      <c r="CNE224" s="862"/>
      <c r="CNF224" s="862"/>
      <c r="CNG224" s="862"/>
      <c r="CNH224" s="863"/>
      <c r="CNI224" s="861"/>
      <c r="CNJ224" s="862"/>
      <c r="CNK224" s="862"/>
      <c r="CNL224" s="862"/>
      <c r="CNM224" s="862"/>
      <c r="CNN224" s="863"/>
      <c r="CNO224" s="861"/>
      <c r="CNP224" s="862"/>
      <c r="CNQ224" s="862"/>
      <c r="CNR224" s="862"/>
      <c r="CNS224" s="862"/>
      <c r="CNT224" s="863"/>
      <c r="CNU224" s="861"/>
      <c r="CNV224" s="862"/>
      <c r="CNW224" s="862"/>
      <c r="CNX224" s="862"/>
      <c r="CNY224" s="862"/>
      <c r="CNZ224" s="863"/>
      <c r="COA224" s="861"/>
      <c r="COB224" s="862"/>
      <c r="COC224" s="862"/>
      <c r="COD224" s="862"/>
      <c r="COE224" s="862"/>
      <c r="COF224" s="863"/>
      <c r="COG224" s="861"/>
      <c r="COH224" s="862"/>
      <c r="COI224" s="862"/>
      <c r="COJ224" s="862"/>
      <c r="COK224" s="862"/>
      <c r="COL224" s="863"/>
      <c r="COM224" s="861"/>
      <c r="CON224" s="862"/>
      <c r="COO224" s="862"/>
      <c r="COP224" s="862"/>
      <c r="COQ224" s="862"/>
      <c r="COR224" s="863"/>
      <c r="COS224" s="861"/>
      <c r="COT224" s="862"/>
      <c r="COU224" s="862"/>
      <c r="COV224" s="862"/>
      <c r="COW224" s="862"/>
      <c r="COX224" s="863"/>
      <c r="COY224" s="861"/>
      <c r="COZ224" s="862"/>
      <c r="CPA224" s="862"/>
      <c r="CPB224" s="862"/>
      <c r="CPC224" s="862"/>
      <c r="CPD224" s="863"/>
      <c r="CPE224" s="861"/>
      <c r="CPF224" s="862"/>
      <c r="CPG224" s="862"/>
      <c r="CPH224" s="862"/>
      <c r="CPI224" s="862"/>
      <c r="CPJ224" s="863"/>
      <c r="CPK224" s="861"/>
      <c r="CPL224" s="862"/>
      <c r="CPM224" s="862"/>
      <c r="CPN224" s="862"/>
      <c r="CPO224" s="862"/>
      <c r="CPP224" s="863"/>
      <c r="CPQ224" s="861"/>
      <c r="CPR224" s="862"/>
      <c r="CPS224" s="862"/>
      <c r="CPT224" s="862"/>
      <c r="CPU224" s="862"/>
      <c r="CPV224" s="863"/>
      <c r="CPW224" s="861"/>
      <c r="CPX224" s="862"/>
      <c r="CPY224" s="862"/>
      <c r="CPZ224" s="862"/>
      <c r="CQA224" s="862"/>
      <c r="CQB224" s="863"/>
      <c r="CQC224" s="861"/>
      <c r="CQD224" s="862"/>
      <c r="CQE224" s="862"/>
      <c r="CQF224" s="862"/>
      <c r="CQG224" s="862"/>
      <c r="CQH224" s="863"/>
      <c r="CQI224" s="861"/>
      <c r="CQJ224" s="862"/>
      <c r="CQK224" s="862"/>
      <c r="CQL224" s="862"/>
      <c r="CQM224" s="862"/>
      <c r="CQN224" s="863"/>
      <c r="CQO224" s="861"/>
      <c r="CQP224" s="862"/>
      <c r="CQQ224" s="862"/>
      <c r="CQR224" s="862"/>
      <c r="CQS224" s="862"/>
      <c r="CQT224" s="863"/>
      <c r="CQU224" s="861"/>
      <c r="CQV224" s="862"/>
      <c r="CQW224" s="862"/>
      <c r="CQX224" s="862"/>
      <c r="CQY224" s="862"/>
      <c r="CQZ224" s="863"/>
      <c r="CRA224" s="861"/>
      <c r="CRB224" s="862"/>
      <c r="CRC224" s="862"/>
      <c r="CRD224" s="862"/>
      <c r="CRE224" s="862"/>
      <c r="CRF224" s="863"/>
      <c r="CRG224" s="861"/>
      <c r="CRH224" s="862"/>
      <c r="CRI224" s="862"/>
      <c r="CRJ224" s="862"/>
      <c r="CRK224" s="862"/>
      <c r="CRL224" s="863"/>
      <c r="CRM224" s="861"/>
      <c r="CRN224" s="862"/>
      <c r="CRO224" s="862"/>
      <c r="CRP224" s="862"/>
      <c r="CRQ224" s="862"/>
      <c r="CRR224" s="863"/>
      <c r="CRS224" s="861"/>
      <c r="CRT224" s="862"/>
      <c r="CRU224" s="862"/>
      <c r="CRV224" s="862"/>
      <c r="CRW224" s="862"/>
      <c r="CRX224" s="863"/>
      <c r="CRY224" s="861"/>
      <c r="CRZ224" s="862"/>
      <c r="CSA224" s="862"/>
      <c r="CSB224" s="862"/>
      <c r="CSC224" s="862"/>
      <c r="CSD224" s="863"/>
      <c r="CSE224" s="861"/>
      <c r="CSF224" s="862"/>
      <c r="CSG224" s="862"/>
      <c r="CSH224" s="862"/>
      <c r="CSI224" s="862"/>
      <c r="CSJ224" s="863"/>
      <c r="CSK224" s="861"/>
      <c r="CSL224" s="862"/>
      <c r="CSM224" s="862"/>
      <c r="CSN224" s="862"/>
      <c r="CSO224" s="862"/>
      <c r="CSP224" s="863"/>
      <c r="CSQ224" s="861"/>
      <c r="CSR224" s="862"/>
      <c r="CSS224" s="862"/>
      <c r="CST224" s="862"/>
      <c r="CSU224" s="862"/>
      <c r="CSV224" s="863"/>
      <c r="CSW224" s="861"/>
      <c r="CSX224" s="862"/>
      <c r="CSY224" s="862"/>
      <c r="CSZ224" s="862"/>
      <c r="CTA224" s="862"/>
      <c r="CTB224" s="863"/>
      <c r="CTC224" s="861"/>
      <c r="CTD224" s="862"/>
      <c r="CTE224" s="862"/>
      <c r="CTF224" s="862"/>
      <c r="CTG224" s="862"/>
      <c r="CTH224" s="863"/>
      <c r="CTI224" s="861"/>
      <c r="CTJ224" s="862"/>
      <c r="CTK224" s="862"/>
      <c r="CTL224" s="862"/>
      <c r="CTM224" s="862"/>
      <c r="CTN224" s="863"/>
      <c r="CTO224" s="861"/>
      <c r="CTP224" s="862"/>
      <c r="CTQ224" s="862"/>
      <c r="CTR224" s="862"/>
      <c r="CTS224" s="862"/>
      <c r="CTT224" s="863"/>
      <c r="CTU224" s="861"/>
      <c r="CTV224" s="862"/>
      <c r="CTW224" s="862"/>
      <c r="CTX224" s="862"/>
      <c r="CTY224" s="862"/>
      <c r="CTZ224" s="863"/>
      <c r="CUA224" s="861"/>
      <c r="CUB224" s="862"/>
      <c r="CUC224" s="862"/>
      <c r="CUD224" s="862"/>
      <c r="CUE224" s="862"/>
      <c r="CUF224" s="863"/>
      <c r="CUG224" s="861"/>
      <c r="CUH224" s="862"/>
      <c r="CUI224" s="862"/>
      <c r="CUJ224" s="862"/>
      <c r="CUK224" s="862"/>
      <c r="CUL224" s="863"/>
      <c r="CUM224" s="861"/>
      <c r="CUN224" s="862"/>
      <c r="CUO224" s="862"/>
      <c r="CUP224" s="862"/>
      <c r="CUQ224" s="862"/>
      <c r="CUR224" s="863"/>
      <c r="CUS224" s="861"/>
      <c r="CUT224" s="862"/>
      <c r="CUU224" s="862"/>
      <c r="CUV224" s="862"/>
      <c r="CUW224" s="862"/>
      <c r="CUX224" s="863"/>
      <c r="CUY224" s="861"/>
      <c r="CUZ224" s="862"/>
      <c r="CVA224" s="862"/>
      <c r="CVB224" s="862"/>
      <c r="CVC224" s="862"/>
      <c r="CVD224" s="863"/>
      <c r="CVE224" s="861"/>
      <c r="CVF224" s="862"/>
      <c r="CVG224" s="862"/>
      <c r="CVH224" s="862"/>
      <c r="CVI224" s="862"/>
      <c r="CVJ224" s="863"/>
      <c r="CVK224" s="861"/>
      <c r="CVL224" s="862"/>
      <c r="CVM224" s="862"/>
      <c r="CVN224" s="862"/>
      <c r="CVO224" s="862"/>
      <c r="CVP224" s="863"/>
      <c r="CVQ224" s="861"/>
      <c r="CVR224" s="862"/>
      <c r="CVS224" s="862"/>
      <c r="CVT224" s="862"/>
      <c r="CVU224" s="862"/>
      <c r="CVV224" s="863"/>
      <c r="CVW224" s="861"/>
      <c r="CVX224" s="862"/>
      <c r="CVY224" s="862"/>
      <c r="CVZ224" s="862"/>
      <c r="CWA224" s="862"/>
      <c r="CWB224" s="863"/>
      <c r="CWC224" s="861"/>
      <c r="CWD224" s="862"/>
      <c r="CWE224" s="862"/>
      <c r="CWF224" s="862"/>
      <c r="CWG224" s="862"/>
      <c r="CWH224" s="863"/>
      <c r="CWI224" s="861"/>
      <c r="CWJ224" s="862"/>
      <c r="CWK224" s="862"/>
      <c r="CWL224" s="862"/>
      <c r="CWM224" s="862"/>
      <c r="CWN224" s="863"/>
      <c r="CWO224" s="861"/>
      <c r="CWP224" s="862"/>
      <c r="CWQ224" s="862"/>
      <c r="CWR224" s="862"/>
      <c r="CWS224" s="862"/>
      <c r="CWT224" s="863"/>
      <c r="CWU224" s="861"/>
      <c r="CWV224" s="862"/>
      <c r="CWW224" s="862"/>
      <c r="CWX224" s="862"/>
      <c r="CWY224" s="862"/>
      <c r="CWZ224" s="863"/>
      <c r="CXA224" s="861"/>
      <c r="CXB224" s="862"/>
      <c r="CXC224" s="862"/>
      <c r="CXD224" s="862"/>
      <c r="CXE224" s="862"/>
      <c r="CXF224" s="863"/>
      <c r="CXG224" s="861"/>
      <c r="CXH224" s="862"/>
      <c r="CXI224" s="862"/>
      <c r="CXJ224" s="862"/>
      <c r="CXK224" s="862"/>
      <c r="CXL224" s="863"/>
      <c r="CXM224" s="861"/>
      <c r="CXN224" s="862"/>
      <c r="CXO224" s="862"/>
      <c r="CXP224" s="862"/>
      <c r="CXQ224" s="862"/>
      <c r="CXR224" s="863"/>
      <c r="CXS224" s="861"/>
      <c r="CXT224" s="862"/>
      <c r="CXU224" s="862"/>
      <c r="CXV224" s="862"/>
      <c r="CXW224" s="862"/>
      <c r="CXX224" s="863"/>
      <c r="CXY224" s="861"/>
      <c r="CXZ224" s="862"/>
      <c r="CYA224" s="862"/>
      <c r="CYB224" s="862"/>
      <c r="CYC224" s="862"/>
      <c r="CYD224" s="863"/>
      <c r="CYE224" s="861"/>
      <c r="CYF224" s="862"/>
      <c r="CYG224" s="862"/>
      <c r="CYH224" s="862"/>
      <c r="CYI224" s="862"/>
      <c r="CYJ224" s="863"/>
      <c r="CYK224" s="861"/>
      <c r="CYL224" s="862"/>
      <c r="CYM224" s="862"/>
      <c r="CYN224" s="862"/>
      <c r="CYO224" s="862"/>
      <c r="CYP224" s="863"/>
      <c r="CYQ224" s="861"/>
      <c r="CYR224" s="862"/>
      <c r="CYS224" s="862"/>
      <c r="CYT224" s="862"/>
      <c r="CYU224" s="862"/>
      <c r="CYV224" s="863"/>
      <c r="CYW224" s="861"/>
      <c r="CYX224" s="862"/>
      <c r="CYY224" s="862"/>
      <c r="CYZ224" s="862"/>
      <c r="CZA224" s="862"/>
      <c r="CZB224" s="863"/>
      <c r="CZC224" s="861"/>
      <c r="CZD224" s="862"/>
      <c r="CZE224" s="862"/>
      <c r="CZF224" s="862"/>
      <c r="CZG224" s="862"/>
      <c r="CZH224" s="863"/>
      <c r="CZI224" s="861"/>
      <c r="CZJ224" s="862"/>
      <c r="CZK224" s="862"/>
      <c r="CZL224" s="862"/>
      <c r="CZM224" s="862"/>
      <c r="CZN224" s="863"/>
      <c r="CZO224" s="861"/>
      <c r="CZP224" s="862"/>
      <c r="CZQ224" s="862"/>
      <c r="CZR224" s="862"/>
      <c r="CZS224" s="862"/>
      <c r="CZT224" s="863"/>
      <c r="CZU224" s="861"/>
      <c r="CZV224" s="862"/>
      <c r="CZW224" s="862"/>
      <c r="CZX224" s="862"/>
      <c r="CZY224" s="862"/>
      <c r="CZZ224" s="863"/>
      <c r="DAA224" s="861"/>
      <c r="DAB224" s="862"/>
      <c r="DAC224" s="862"/>
      <c r="DAD224" s="862"/>
      <c r="DAE224" s="862"/>
      <c r="DAF224" s="863"/>
      <c r="DAG224" s="861"/>
      <c r="DAH224" s="862"/>
      <c r="DAI224" s="862"/>
      <c r="DAJ224" s="862"/>
      <c r="DAK224" s="862"/>
      <c r="DAL224" s="863"/>
      <c r="DAM224" s="861"/>
      <c r="DAN224" s="862"/>
      <c r="DAO224" s="862"/>
      <c r="DAP224" s="862"/>
      <c r="DAQ224" s="862"/>
      <c r="DAR224" s="863"/>
      <c r="DAS224" s="861"/>
      <c r="DAT224" s="862"/>
      <c r="DAU224" s="862"/>
      <c r="DAV224" s="862"/>
      <c r="DAW224" s="862"/>
      <c r="DAX224" s="863"/>
      <c r="DAY224" s="861"/>
      <c r="DAZ224" s="862"/>
      <c r="DBA224" s="862"/>
      <c r="DBB224" s="862"/>
      <c r="DBC224" s="862"/>
      <c r="DBD224" s="863"/>
      <c r="DBE224" s="861"/>
      <c r="DBF224" s="862"/>
      <c r="DBG224" s="862"/>
      <c r="DBH224" s="862"/>
      <c r="DBI224" s="862"/>
      <c r="DBJ224" s="863"/>
      <c r="DBK224" s="861"/>
      <c r="DBL224" s="862"/>
      <c r="DBM224" s="862"/>
      <c r="DBN224" s="862"/>
      <c r="DBO224" s="862"/>
      <c r="DBP224" s="863"/>
      <c r="DBQ224" s="861"/>
      <c r="DBR224" s="862"/>
      <c r="DBS224" s="862"/>
      <c r="DBT224" s="862"/>
      <c r="DBU224" s="862"/>
      <c r="DBV224" s="863"/>
      <c r="DBW224" s="861"/>
      <c r="DBX224" s="862"/>
      <c r="DBY224" s="862"/>
      <c r="DBZ224" s="862"/>
      <c r="DCA224" s="862"/>
      <c r="DCB224" s="863"/>
      <c r="DCC224" s="861"/>
      <c r="DCD224" s="862"/>
      <c r="DCE224" s="862"/>
      <c r="DCF224" s="862"/>
      <c r="DCG224" s="862"/>
      <c r="DCH224" s="863"/>
      <c r="DCI224" s="861"/>
      <c r="DCJ224" s="862"/>
      <c r="DCK224" s="862"/>
      <c r="DCL224" s="862"/>
      <c r="DCM224" s="862"/>
      <c r="DCN224" s="863"/>
      <c r="DCO224" s="861"/>
      <c r="DCP224" s="862"/>
      <c r="DCQ224" s="862"/>
      <c r="DCR224" s="862"/>
      <c r="DCS224" s="862"/>
      <c r="DCT224" s="863"/>
      <c r="DCU224" s="861"/>
      <c r="DCV224" s="862"/>
      <c r="DCW224" s="862"/>
      <c r="DCX224" s="862"/>
      <c r="DCY224" s="862"/>
      <c r="DCZ224" s="863"/>
      <c r="DDA224" s="861"/>
      <c r="DDB224" s="862"/>
      <c r="DDC224" s="862"/>
      <c r="DDD224" s="862"/>
      <c r="DDE224" s="862"/>
      <c r="DDF224" s="863"/>
      <c r="DDG224" s="861"/>
      <c r="DDH224" s="862"/>
      <c r="DDI224" s="862"/>
      <c r="DDJ224" s="862"/>
      <c r="DDK224" s="862"/>
      <c r="DDL224" s="863"/>
      <c r="DDM224" s="861"/>
      <c r="DDN224" s="862"/>
      <c r="DDO224" s="862"/>
      <c r="DDP224" s="862"/>
      <c r="DDQ224" s="862"/>
      <c r="DDR224" s="863"/>
      <c r="DDS224" s="861"/>
      <c r="DDT224" s="862"/>
      <c r="DDU224" s="862"/>
      <c r="DDV224" s="862"/>
      <c r="DDW224" s="862"/>
      <c r="DDX224" s="863"/>
      <c r="DDY224" s="861"/>
      <c r="DDZ224" s="862"/>
      <c r="DEA224" s="862"/>
      <c r="DEB224" s="862"/>
      <c r="DEC224" s="862"/>
      <c r="DED224" s="863"/>
      <c r="DEE224" s="861"/>
      <c r="DEF224" s="862"/>
      <c r="DEG224" s="862"/>
      <c r="DEH224" s="862"/>
      <c r="DEI224" s="862"/>
      <c r="DEJ224" s="863"/>
      <c r="DEK224" s="861"/>
      <c r="DEL224" s="862"/>
      <c r="DEM224" s="862"/>
      <c r="DEN224" s="862"/>
      <c r="DEO224" s="862"/>
      <c r="DEP224" s="863"/>
      <c r="DEQ224" s="861"/>
      <c r="DER224" s="862"/>
      <c r="DES224" s="862"/>
      <c r="DET224" s="862"/>
      <c r="DEU224" s="862"/>
      <c r="DEV224" s="863"/>
      <c r="DEW224" s="861"/>
      <c r="DEX224" s="862"/>
      <c r="DEY224" s="862"/>
      <c r="DEZ224" s="862"/>
      <c r="DFA224" s="862"/>
      <c r="DFB224" s="863"/>
      <c r="DFC224" s="861"/>
      <c r="DFD224" s="862"/>
      <c r="DFE224" s="862"/>
      <c r="DFF224" s="862"/>
      <c r="DFG224" s="862"/>
      <c r="DFH224" s="863"/>
      <c r="DFI224" s="861"/>
      <c r="DFJ224" s="862"/>
      <c r="DFK224" s="862"/>
      <c r="DFL224" s="862"/>
      <c r="DFM224" s="862"/>
      <c r="DFN224" s="863"/>
      <c r="DFO224" s="861"/>
      <c r="DFP224" s="862"/>
      <c r="DFQ224" s="862"/>
      <c r="DFR224" s="862"/>
      <c r="DFS224" s="862"/>
      <c r="DFT224" s="863"/>
      <c r="DFU224" s="861"/>
      <c r="DFV224" s="862"/>
      <c r="DFW224" s="862"/>
      <c r="DFX224" s="862"/>
      <c r="DFY224" s="862"/>
      <c r="DFZ224" s="863"/>
      <c r="DGA224" s="861"/>
      <c r="DGB224" s="862"/>
      <c r="DGC224" s="862"/>
      <c r="DGD224" s="862"/>
      <c r="DGE224" s="862"/>
      <c r="DGF224" s="863"/>
      <c r="DGG224" s="861"/>
      <c r="DGH224" s="862"/>
      <c r="DGI224" s="862"/>
      <c r="DGJ224" s="862"/>
      <c r="DGK224" s="862"/>
      <c r="DGL224" s="863"/>
      <c r="DGM224" s="861"/>
      <c r="DGN224" s="862"/>
      <c r="DGO224" s="862"/>
      <c r="DGP224" s="862"/>
      <c r="DGQ224" s="862"/>
      <c r="DGR224" s="863"/>
      <c r="DGS224" s="861"/>
      <c r="DGT224" s="862"/>
      <c r="DGU224" s="862"/>
      <c r="DGV224" s="862"/>
      <c r="DGW224" s="862"/>
      <c r="DGX224" s="863"/>
      <c r="DGY224" s="861"/>
      <c r="DGZ224" s="862"/>
      <c r="DHA224" s="862"/>
      <c r="DHB224" s="862"/>
      <c r="DHC224" s="862"/>
      <c r="DHD224" s="863"/>
      <c r="DHE224" s="861"/>
      <c r="DHF224" s="862"/>
      <c r="DHG224" s="862"/>
      <c r="DHH224" s="862"/>
      <c r="DHI224" s="862"/>
      <c r="DHJ224" s="863"/>
      <c r="DHK224" s="861"/>
      <c r="DHL224" s="862"/>
      <c r="DHM224" s="862"/>
      <c r="DHN224" s="862"/>
      <c r="DHO224" s="862"/>
      <c r="DHP224" s="863"/>
      <c r="DHQ224" s="861"/>
      <c r="DHR224" s="862"/>
      <c r="DHS224" s="862"/>
      <c r="DHT224" s="862"/>
      <c r="DHU224" s="862"/>
      <c r="DHV224" s="863"/>
      <c r="DHW224" s="861"/>
      <c r="DHX224" s="862"/>
      <c r="DHY224" s="862"/>
      <c r="DHZ224" s="862"/>
      <c r="DIA224" s="862"/>
      <c r="DIB224" s="863"/>
      <c r="DIC224" s="861"/>
      <c r="DID224" s="862"/>
      <c r="DIE224" s="862"/>
      <c r="DIF224" s="862"/>
      <c r="DIG224" s="862"/>
      <c r="DIH224" s="863"/>
      <c r="DII224" s="861"/>
      <c r="DIJ224" s="862"/>
      <c r="DIK224" s="862"/>
      <c r="DIL224" s="862"/>
      <c r="DIM224" s="862"/>
      <c r="DIN224" s="863"/>
      <c r="DIO224" s="861"/>
      <c r="DIP224" s="862"/>
      <c r="DIQ224" s="862"/>
      <c r="DIR224" s="862"/>
      <c r="DIS224" s="862"/>
      <c r="DIT224" s="863"/>
      <c r="DIU224" s="861"/>
      <c r="DIV224" s="862"/>
      <c r="DIW224" s="862"/>
      <c r="DIX224" s="862"/>
      <c r="DIY224" s="862"/>
      <c r="DIZ224" s="863"/>
      <c r="DJA224" s="861"/>
      <c r="DJB224" s="862"/>
      <c r="DJC224" s="862"/>
      <c r="DJD224" s="862"/>
      <c r="DJE224" s="862"/>
      <c r="DJF224" s="863"/>
      <c r="DJG224" s="861"/>
      <c r="DJH224" s="862"/>
      <c r="DJI224" s="862"/>
      <c r="DJJ224" s="862"/>
      <c r="DJK224" s="862"/>
      <c r="DJL224" s="863"/>
      <c r="DJM224" s="861"/>
      <c r="DJN224" s="862"/>
      <c r="DJO224" s="862"/>
      <c r="DJP224" s="862"/>
      <c r="DJQ224" s="862"/>
      <c r="DJR224" s="863"/>
      <c r="DJS224" s="861"/>
      <c r="DJT224" s="862"/>
      <c r="DJU224" s="862"/>
      <c r="DJV224" s="862"/>
      <c r="DJW224" s="862"/>
      <c r="DJX224" s="863"/>
      <c r="DJY224" s="861"/>
      <c r="DJZ224" s="862"/>
      <c r="DKA224" s="862"/>
      <c r="DKB224" s="862"/>
      <c r="DKC224" s="862"/>
      <c r="DKD224" s="863"/>
      <c r="DKE224" s="861"/>
      <c r="DKF224" s="862"/>
      <c r="DKG224" s="862"/>
      <c r="DKH224" s="862"/>
      <c r="DKI224" s="862"/>
      <c r="DKJ224" s="863"/>
      <c r="DKK224" s="861"/>
      <c r="DKL224" s="862"/>
      <c r="DKM224" s="862"/>
      <c r="DKN224" s="862"/>
      <c r="DKO224" s="862"/>
      <c r="DKP224" s="863"/>
      <c r="DKQ224" s="861"/>
      <c r="DKR224" s="862"/>
      <c r="DKS224" s="862"/>
      <c r="DKT224" s="862"/>
      <c r="DKU224" s="862"/>
      <c r="DKV224" s="863"/>
      <c r="DKW224" s="861"/>
      <c r="DKX224" s="862"/>
      <c r="DKY224" s="862"/>
      <c r="DKZ224" s="862"/>
      <c r="DLA224" s="862"/>
      <c r="DLB224" s="863"/>
      <c r="DLC224" s="861"/>
      <c r="DLD224" s="862"/>
      <c r="DLE224" s="862"/>
      <c r="DLF224" s="862"/>
      <c r="DLG224" s="862"/>
      <c r="DLH224" s="863"/>
      <c r="DLI224" s="861"/>
      <c r="DLJ224" s="862"/>
      <c r="DLK224" s="862"/>
      <c r="DLL224" s="862"/>
      <c r="DLM224" s="862"/>
      <c r="DLN224" s="863"/>
      <c r="DLO224" s="861"/>
      <c r="DLP224" s="862"/>
      <c r="DLQ224" s="862"/>
      <c r="DLR224" s="862"/>
      <c r="DLS224" s="862"/>
      <c r="DLT224" s="863"/>
      <c r="DLU224" s="861"/>
      <c r="DLV224" s="862"/>
      <c r="DLW224" s="862"/>
      <c r="DLX224" s="862"/>
      <c r="DLY224" s="862"/>
      <c r="DLZ224" s="863"/>
      <c r="DMA224" s="861"/>
      <c r="DMB224" s="862"/>
      <c r="DMC224" s="862"/>
      <c r="DMD224" s="862"/>
      <c r="DME224" s="862"/>
      <c r="DMF224" s="863"/>
      <c r="DMG224" s="861"/>
      <c r="DMH224" s="862"/>
      <c r="DMI224" s="862"/>
      <c r="DMJ224" s="862"/>
      <c r="DMK224" s="862"/>
      <c r="DML224" s="863"/>
      <c r="DMM224" s="861"/>
      <c r="DMN224" s="862"/>
      <c r="DMO224" s="862"/>
      <c r="DMP224" s="862"/>
      <c r="DMQ224" s="862"/>
      <c r="DMR224" s="863"/>
      <c r="DMS224" s="861"/>
      <c r="DMT224" s="862"/>
      <c r="DMU224" s="862"/>
      <c r="DMV224" s="862"/>
      <c r="DMW224" s="862"/>
      <c r="DMX224" s="863"/>
      <c r="DMY224" s="861"/>
      <c r="DMZ224" s="862"/>
      <c r="DNA224" s="862"/>
      <c r="DNB224" s="862"/>
      <c r="DNC224" s="862"/>
      <c r="DND224" s="863"/>
      <c r="DNE224" s="861"/>
      <c r="DNF224" s="862"/>
      <c r="DNG224" s="862"/>
      <c r="DNH224" s="862"/>
      <c r="DNI224" s="862"/>
      <c r="DNJ224" s="863"/>
      <c r="DNK224" s="861"/>
      <c r="DNL224" s="862"/>
      <c r="DNM224" s="862"/>
      <c r="DNN224" s="862"/>
      <c r="DNO224" s="862"/>
      <c r="DNP224" s="863"/>
      <c r="DNQ224" s="861"/>
      <c r="DNR224" s="862"/>
      <c r="DNS224" s="862"/>
      <c r="DNT224" s="862"/>
      <c r="DNU224" s="862"/>
      <c r="DNV224" s="863"/>
      <c r="DNW224" s="861"/>
      <c r="DNX224" s="862"/>
      <c r="DNY224" s="862"/>
      <c r="DNZ224" s="862"/>
      <c r="DOA224" s="862"/>
      <c r="DOB224" s="863"/>
      <c r="DOC224" s="861"/>
      <c r="DOD224" s="862"/>
      <c r="DOE224" s="862"/>
      <c r="DOF224" s="862"/>
      <c r="DOG224" s="862"/>
      <c r="DOH224" s="863"/>
      <c r="DOI224" s="861"/>
      <c r="DOJ224" s="862"/>
      <c r="DOK224" s="862"/>
      <c r="DOL224" s="862"/>
      <c r="DOM224" s="862"/>
      <c r="DON224" s="863"/>
      <c r="DOO224" s="861"/>
      <c r="DOP224" s="862"/>
      <c r="DOQ224" s="862"/>
      <c r="DOR224" s="862"/>
      <c r="DOS224" s="862"/>
      <c r="DOT224" s="863"/>
      <c r="DOU224" s="861"/>
      <c r="DOV224" s="862"/>
      <c r="DOW224" s="862"/>
      <c r="DOX224" s="862"/>
      <c r="DOY224" s="862"/>
      <c r="DOZ224" s="863"/>
      <c r="DPA224" s="861"/>
      <c r="DPB224" s="862"/>
      <c r="DPC224" s="862"/>
      <c r="DPD224" s="862"/>
      <c r="DPE224" s="862"/>
      <c r="DPF224" s="863"/>
      <c r="DPG224" s="861"/>
      <c r="DPH224" s="862"/>
      <c r="DPI224" s="862"/>
      <c r="DPJ224" s="862"/>
      <c r="DPK224" s="862"/>
      <c r="DPL224" s="863"/>
      <c r="DPM224" s="861"/>
      <c r="DPN224" s="862"/>
      <c r="DPO224" s="862"/>
      <c r="DPP224" s="862"/>
      <c r="DPQ224" s="862"/>
      <c r="DPR224" s="863"/>
      <c r="DPS224" s="861"/>
      <c r="DPT224" s="862"/>
      <c r="DPU224" s="862"/>
      <c r="DPV224" s="862"/>
      <c r="DPW224" s="862"/>
      <c r="DPX224" s="863"/>
      <c r="DPY224" s="861"/>
      <c r="DPZ224" s="862"/>
      <c r="DQA224" s="862"/>
      <c r="DQB224" s="862"/>
      <c r="DQC224" s="862"/>
      <c r="DQD224" s="863"/>
      <c r="DQE224" s="861"/>
      <c r="DQF224" s="862"/>
      <c r="DQG224" s="862"/>
      <c r="DQH224" s="862"/>
      <c r="DQI224" s="862"/>
      <c r="DQJ224" s="863"/>
      <c r="DQK224" s="861"/>
      <c r="DQL224" s="862"/>
      <c r="DQM224" s="862"/>
      <c r="DQN224" s="862"/>
      <c r="DQO224" s="862"/>
      <c r="DQP224" s="863"/>
      <c r="DQQ224" s="861"/>
      <c r="DQR224" s="862"/>
      <c r="DQS224" s="862"/>
      <c r="DQT224" s="862"/>
      <c r="DQU224" s="862"/>
      <c r="DQV224" s="863"/>
      <c r="DQW224" s="861"/>
      <c r="DQX224" s="862"/>
      <c r="DQY224" s="862"/>
      <c r="DQZ224" s="862"/>
      <c r="DRA224" s="862"/>
      <c r="DRB224" s="863"/>
      <c r="DRC224" s="861"/>
      <c r="DRD224" s="862"/>
      <c r="DRE224" s="862"/>
      <c r="DRF224" s="862"/>
      <c r="DRG224" s="862"/>
      <c r="DRH224" s="863"/>
      <c r="DRI224" s="861"/>
      <c r="DRJ224" s="862"/>
      <c r="DRK224" s="862"/>
      <c r="DRL224" s="862"/>
      <c r="DRM224" s="862"/>
      <c r="DRN224" s="863"/>
      <c r="DRO224" s="861"/>
      <c r="DRP224" s="862"/>
      <c r="DRQ224" s="862"/>
      <c r="DRR224" s="862"/>
      <c r="DRS224" s="862"/>
      <c r="DRT224" s="863"/>
      <c r="DRU224" s="861"/>
      <c r="DRV224" s="862"/>
      <c r="DRW224" s="862"/>
      <c r="DRX224" s="862"/>
      <c r="DRY224" s="862"/>
      <c r="DRZ224" s="863"/>
      <c r="DSA224" s="861"/>
      <c r="DSB224" s="862"/>
      <c r="DSC224" s="862"/>
      <c r="DSD224" s="862"/>
      <c r="DSE224" s="862"/>
      <c r="DSF224" s="863"/>
      <c r="DSG224" s="861"/>
      <c r="DSH224" s="862"/>
      <c r="DSI224" s="862"/>
      <c r="DSJ224" s="862"/>
      <c r="DSK224" s="862"/>
      <c r="DSL224" s="863"/>
      <c r="DSM224" s="861"/>
      <c r="DSN224" s="862"/>
      <c r="DSO224" s="862"/>
      <c r="DSP224" s="862"/>
      <c r="DSQ224" s="862"/>
      <c r="DSR224" s="863"/>
      <c r="DSS224" s="861"/>
      <c r="DST224" s="862"/>
      <c r="DSU224" s="862"/>
      <c r="DSV224" s="862"/>
      <c r="DSW224" s="862"/>
      <c r="DSX224" s="863"/>
      <c r="DSY224" s="861"/>
      <c r="DSZ224" s="862"/>
      <c r="DTA224" s="862"/>
      <c r="DTB224" s="862"/>
      <c r="DTC224" s="862"/>
      <c r="DTD224" s="863"/>
      <c r="DTE224" s="861"/>
      <c r="DTF224" s="862"/>
      <c r="DTG224" s="862"/>
      <c r="DTH224" s="862"/>
      <c r="DTI224" s="862"/>
      <c r="DTJ224" s="863"/>
      <c r="DTK224" s="861"/>
      <c r="DTL224" s="862"/>
      <c r="DTM224" s="862"/>
      <c r="DTN224" s="862"/>
      <c r="DTO224" s="862"/>
      <c r="DTP224" s="863"/>
      <c r="DTQ224" s="861"/>
      <c r="DTR224" s="862"/>
      <c r="DTS224" s="862"/>
      <c r="DTT224" s="862"/>
      <c r="DTU224" s="862"/>
      <c r="DTV224" s="863"/>
      <c r="DTW224" s="861"/>
      <c r="DTX224" s="862"/>
      <c r="DTY224" s="862"/>
      <c r="DTZ224" s="862"/>
      <c r="DUA224" s="862"/>
      <c r="DUB224" s="863"/>
      <c r="DUC224" s="861"/>
      <c r="DUD224" s="862"/>
      <c r="DUE224" s="862"/>
      <c r="DUF224" s="862"/>
      <c r="DUG224" s="862"/>
      <c r="DUH224" s="863"/>
      <c r="DUI224" s="861"/>
      <c r="DUJ224" s="862"/>
      <c r="DUK224" s="862"/>
      <c r="DUL224" s="862"/>
      <c r="DUM224" s="862"/>
      <c r="DUN224" s="863"/>
      <c r="DUO224" s="861"/>
      <c r="DUP224" s="862"/>
      <c r="DUQ224" s="862"/>
      <c r="DUR224" s="862"/>
      <c r="DUS224" s="862"/>
      <c r="DUT224" s="863"/>
      <c r="DUU224" s="861"/>
      <c r="DUV224" s="862"/>
      <c r="DUW224" s="862"/>
      <c r="DUX224" s="862"/>
      <c r="DUY224" s="862"/>
      <c r="DUZ224" s="863"/>
      <c r="DVA224" s="861"/>
      <c r="DVB224" s="862"/>
      <c r="DVC224" s="862"/>
      <c r="DVD224" s="862"/>
      <c r="DVE224" s="862"/>
      <c r="DVF224" s="863"/>
      <c r="DVG224" s="861"/>
      <c r="DVH224" s="862"/>
      <c r="DVI224" s="862"/>
      <c r="DVJ224" s="862"/>
      <c r="DVK224" s="862"/>
      <c r="DVL224" s="863"/>
      <c r="DVM224" s="861"/>
      <c r="DVN224" s="862"/>
      <c r="DVO224" s="862"/>
      <c r="DVP224" s="862"/>
      <c r="DVQ224" s="862"/>
      <c r="DVR224" s="863"/>
      <c r="DVS224" s="861"/>
      <c r="DVT224" s="862"/>
      <c r="DVU224" s="862"/>
      <c r="DVV224" s="862"/>
      <c r="DVW224" s="862"/>
      <c r="DVX224" s="863"/>
      <c r="DVY224" s="861"/>
      <c r="DVZ224" s="862"/>
      <c r="DWA224" s="862"/>
      <c r="DWB224" s="862"/>
      <c r="DWC224" s="862"/>
      <c r="DWD224" s="863"/>
      <c r="DWE224" s="861"/>
      <c r="DWF224" s="862"/>
      <c r="DWG224" s="862"/>
      <c r="DWH224" s="862"/>
      <c r="DWI224" s="862"/>
      <c r="DWJ224" s="863"/>
      <c r="DWK224" s="861"/>
      <c r="DWL224" s="862"/>
      <c r="DWM224" s="862"/>
      <c r="DWN224" s="862"/>
      <c r="DWO224" s="862"/>
      <c r="DWP224" s="863"/>
      <c r="DWQ224" s="861"/>
      <c r="DWR224" s="862"/>
      <c r="DWS224" s="862"/>
      <c r="DWT224" s="862"/>
      <c r="DWU224" s="862"/>
      <c r="DWV224" s="863"/>
      <c r="DWW224" s="861"/>
      <c r="DWX224" s="862"/>
      <c r="DWY224" s="862"/>
      <c r="DWZ224" s="862"/>
      <c r="DXA224" s="862"/>
      <c r="DXB224" s="863"/>
      <c r="DXC224" s="861"/>
      <c r="DXD224" s="862"/>
      <c r="DXE224" s="862"/>
      <c r="DXF224" s="862"/>
      <c r="DXG224" s="862"/>
      <c r="DXH224" s="863"/>
      <c r="DXI224" s="861"/>
      <c r="DXJ224" s="862"/>
      <c r="DXK224" s="862"/>
      <c r="DXL224" s="862"/>
      <c r="DXM224" s="862"/>
      <c r="DXN224" s="863"/>
      <c r="DXO224" s="861"/>
      <c r="DXP224" s="862"/>
      <c r="DXQ224" s="862"/>
      <c r="DXR224" s="862"/>
      <c r="DXS224" s="862"/>
      <c r="DXT224" s="863"/>
      <c r="DXU224" s="861"/>
      <c r="DXV224" s="862"/>
      <c r="DXW224" s="862"/>
      <c r="DXX224" s="862"/>
      <c r="DXY224" s="862"/>
      <c r="DXZ224" s="863"/>
      <c r="DYA224" s="861"/>
      <c r="DYB224" s="862"/>
      <c r="DYC224" s="862"/>
      <c r="DYD224" s="862"/>
      <c r="DYE224" s="862"/>
      <c r="DYF224" s="863"/>
      <c r="DYG224" s="861"/>
      <c r="DYH224" s="862"/>
      <c r="DYI224" s="862"/>
      <c r="DYJ224" s="862"/>
      <c r="DYK224" s="862"/>
      <c r="DYL224" s="863"/>
      <c r="DYM224" s="861"/>
      <c r="DYN224" s="862"/>
      <c r="DYO224" s="862"/>
      <c r="DYP224" s="862"/>
      <c r="DYQ224" s="862"/>
      <c r="DYR224" s="863"/>
      <c r="DYS224" s="861"/>
      <c r="DYT224" s="862"/>
      <c r="DYU224" s="862"/>
      <c r="DYV224" s="862"/>
      <c r="DYW224" s="862"/>
      <c r="DYX224" s="863"/>
      <c r="DYY224" s="861"/>
      <c r="DYZ224" s="862"/>
      <c r="DZA224" s="862"/>
      <c r="DZB224" s="862"/>
      <c r="DZC224" s="862"/>
      <c r="DZD224" s="863"/>
      <c r="DZE224" s="861"/>
      <c r="DZF224" s="862"/>
      <c r="DZG224" s="862"/>
      <c r="DZH224" s="862"/>
      <c r="DZI224" s="862"/>
      <c r="DZJ224" s="863"/>
      <c r="DZK224" s="861"/>
      <c r="DZL224" s="862"/>
      <c r="DZM224" s="862"/>
      <c r="DZN224" s="862"/>
      <c r="DZO224" s="862"/>
      <c r="DZP224" s="863"/>
      <c r="DZQ224" s="861"/>
      <c r="DZR224" s="862"/>
      <c r="DZS224" s="862"/>
      <c r="DZT224" s="862"/>
      <c r="DZU224" s="862"/>
      <c r="DZV224" s="863"/>
      <c r="DZW224" s="861"/>
      <c r="DZX224" s="862"/>
      <c r="DZY224" s="862"/>
      <c r="DZZ224" s="862"/>
      <c r="EAA224" s="862"/>
      <c r="EAB224" s="863"/>
      <c r="EAC224" s="861"/>
      <c r="EAD224" s="862"/>
      <c r="EAE224" s="862"/>
      <c r="EAF224" s="862"/>
      <c r="EAG224" s="862"/>
      <c r="EAH224" s="863"/>
      <c r="EAI224" s="861"/>
      <c r="EAJ224" s="862"/>
      <c r="EAK224" s="862"/>
      <c r="EAL224" s="862"/>
      <c r="EAM224" s="862"/>
      <c r="EAN224" s="863"/>
      <c r="EAO224" s="861"/>
      <c r="EAP224" s="862"/>
      <c r="EAQ224" s="862"/>
      <c r="EAR224" s="862"/>
      <c r="EAS224" s="862"/>
      <c r="EAT224" s="863"/>
      <c r="EAU224" s="861"/>
      <c r="EAV224" s="862"/>
      <c r="EAW224" s="862"/>
      <c r="EAX224" s="862"/>
      <c r="EAY224" s="862"/>
      <c r="EAZ224" s="863"/>
      <c r="EBA224" s="861"/>
      <c r="EBB224" s="862"/>
      <c r="EBC224" s="862"/>
      <c r="EBD224" s="862"/>
      <c r="EBE224" s="862"/>
      <c r="EBF224" s="863"/>
      <c r="EBG224" s="861"/>
      <c r="EBH224" s="862"/>
      <c r="EBI224" s="862"/>
      <c r="EBJ224" s="862"/>
      <c r="EBK224" s="862"/>
      <c r="EBL224" s="863"/>
      <c r="EBM224" s="861"/>
      <c r="EBN224" s="862"/>
      <c r="EBO224" s="862"/>
      <c r="EBP224" s="862"/>
      <c r="EBQ224" s="862"/>
      <c r="EBR224" s="863"/>
      <c r="EBS224" s="861"/>
      <c r="EBT224" s="862"/>
      <c r="EBU224" s="862"/>
      <c r="EBV224" s="862"/>
      <c r="EBW224" s="862"/>
      <c r="EBX224" s="863"/>
      <c r="EBY224" s="861"/>
      <c r="EBZ224" s="862"/>
      <c r="ECA224" s="862"/>
      <c r="ECB224" s="862"/>
      <c r="ECC224" s="862"/>
      <c r="ECD224" s="863"/>
      <c r="ECE224" s="861"/>
      <c r="ECF224" s="862"/>
      <c r="ECG224" s="862"/>
      <c r="ECH224" s="862"/>
      <c r="ECI224" s="862"/>
      <c r="ECJ224" s="863"/>
      <c r="ECK224" s="861"/>
      <c r="ECL224" s="862"/>
      <c r="ECM224" s="862"/>
      <c r="ECN224" s="862"/>
      <c r="ECO224" s="862"/>
      <c r="ECP224" s="863"/>
      <c r="ECQ224" s="861"/>
      <c r="ECR224" s="862"/>
      <c r="ECS224" s="862"/>
      <c r="ECT224" s="862"/>
      <c r="ECU224" s="862"/>
      <c r="ECV224" s="863"/>
      <c r="ECW224" s="861"/>
      <c r="ECX224" s="862"/>
      <c r="ECY224" s="862"/>
      <c r="ECZ224" s="862"/>
      <c r="EDA224" s="862"/>
      <c r="EDB224" s="863"/>
      <c r="EDC224" s="861"/>
      <c r="EDD224" s="862"/>
      <c r="EDE224" s="862"/>
      <c r="EDF224" s="862"/>
      <c r="EDG224" s="862"/>
      <c r="EDH224" s="863"/>
      <c r="EDI224" s="861"/>
      <c r="EDJ224" s="862"/>
      <c r="EDK224" s="862"/>
      <c r="EDL224" s="862"/>
      <c r="EDM224" s="862"/>
      <c r="EDN224" s="863"/>
      <c r="EDO224" s="861"/>
      <c r="EDP224" s="862"/>
      <c r="EDQ224" s="862"/>
      <c r="EDR224" s="862"/>
      <c r="EDS224" s="862"/>
      <c r="EDT224" s="863"/>
      <c r="EDU224" s="861"/>
      <c r="EDV224" s="862"/>
      <c r="EDW224" s="862"/>
      <c r="EDX224" s="862"/>
      <c r="EDY224" s="862"/>
      <c r="EDZ224" s="863"/>
      <c r="EEA224" s="861"/>
      <c r="EEB224" s="862"/>
      <c r="EEC224" s="862"/>
      <c r="EED224" s="862"/>
      <c r="EEE224" s="862"/>
      <c r="EEF224" s="863"/>
      <c r="EEG224" s="861"/>
      <c r="EEH224" s="862"/>
      <c r="EEI224" s="862"/>
      <c r="EEJ224" s="862"/>
      <c r="EEK224" s="862"/>
      <c r="EEL224" s="863"/>
      <c r="EEM224" s="861"/>
      <c r="EEN224" s="862"/>
      <c r="EEO224" s="862"/>
      <c r="EEP224" s="862"/>
      <c r="EEQ224" s="862"/>
      <c r="EER224" s="863"/>
      <c r="EES224" s="861"/>
      <c r="EET224" s="862"/>
      <c r="EEU224" s="862"/>
      <c r="EEV224" s="862"/>
      <c r="EEW224" s="862"/>
      <c r="EEX224" s="863"/>
      <c r="EEY224" s="861"/>
      <c r="EEZ224" s="862"/>
      <c r="EFA224" s="862"/>
      <c r="EFB224" s="862"/>
      <c r="EFC224" s="862"/>
      <c r="EFD224" s="863"/>
      <c r="EFE224" s="861"/>
      <c r="EFF224" s="862"/>
      <c r="EFG224" s="862"/>
      <c r="EFH224" s="862"/>
      <c r="EFI224" s="862"/>
      <c r="EFJ224" s="863"/>
      <c r="EFK224" s="861"/>
      <c r="EFL224" s="862"/>
      <c r="EFM224" s="862"/>
      <c r="EFN224" s="862"/>
      <c r="EFO224" s="862"/>
      <c r="EFP224" s="863"/>
      <c r="EFQ224" s="861"/>
      <c r="EFR224" s="862"/>
      <c r="EFS224" s="862"/>
      <c r="EFT224" s="862"/>
      <c r="EFU224" s="862"/>
      <c r="EFV224" s="863"/>
      <c r="EFW224" s="861"/>
      <c r="EFX224" s="862"/>
      <c r="EFY224" s="862"/>
      <c r="EFZ224" s="862"/>
      <c r="EGA224" s="862"/>
      <c r="EGB224" s="863"/>
      <c r="EGC224" s="861"/>
      <c r="EGD224" s="862"/>
      <c r="EGE224" s="862"/>
      <c r="EGF224" s="862"/>
      <c r="EGG224" s="862"/>
      <c r="EGH224" s="863"/>
      <c r="EGI224" s="861"/>
      <c r="EGJ224" s="862"/>
      <c r="EGK224" s="862"/>
      <c r="EGL224" s="862"/>
      <c r="EGM224" s="862"/>
      <c r="EGN224" s="863"/>
      <c r="EGO224" s="861"/>
      <c r="EGP224" s="862"/>
      <c r="EGQ224" s="862"/>
      <c r="EGR224" s="862"/>
      <c r="EGS224" s="862"/>
      <c r="EGT224" s="863"/>
      <c r="EGU224" s="861"/>
      <c r="EGV224" s="862"/>
      <c r="EGW224" s="862"/>
      <c r="EGX224" s="862"/>
      <c r="EGY224" s="862"/>
      <c r="EGZ224" s="863"/>
      <c r="EHA224" s="861"/>
      <c r="EHB224" s="862"/>
      <c r="EHC224" s="862"/>
      <c r="EHD224" s="862"/>
      <c r="EHE224" s="862"/>
      <c r="EHF224" s="863"/>
      <c r="EHG224" s="861"/>
      <c r="EHH224" s="862"/>
      <c r="EHI224" s="862"/>
      <c r="EHJ224" s="862"/>
      <c r="EHK224" s="862"/>
      <c r="EHL224" s="863"/>
      <c r="EHM224" s="861"/>
      <c r="EHN224" s="862"/>
      <c r="EHO224" s="862"/>
      <c r="EHP224" s="862"/>
      <c r="EHQ224" s="862"/>
      <c r="EHR224" s="863"/>
      <c r="EHS224" s="861"/>
      <c r="EHT224" s="862"/>
      <c r="EHU224" s="862"/>
      <c r="EHV224" s="862"/>
      <c r="EHW224" s="862"/>
      <c r="EHX224" s="863"/>
      <c r="EHY224" s="861"/>
      <c r="EHZ224" s="862"/>
      <c r="EIA224" s="862"/>
      <c r="EIB224" s="862"/>
      <c r="EIC224" s="862"/>
      <c r="EID224" s="863"/>
      <c r="EIE224" s="861"/>
      <c r="EIF224" s="862"/>
      <c r="EIG224" s="862"/>
      <c r="EIH224" s="862"/>
      <c r="EII224" s="862"/>
      <c r="EIJ224" s="863"/>
      <c r="EIK224" s="861"/>
      <c r="EIL224" s="862"/>
      <c r="EIM224" s="862"/>
      <c r="EIN224" s="862"/>
      <c r="EIO224" s="862"/>
      <c r="EIP224" s="863"/>
      <c r="EIQ224" s="861"/>
      <c r="EIR224" s="862"/>
      <c r="EIS224" s="862"/>
      <c r="EIT224" s="862"/>
      <c r="EIU224" s="862"/>
      <c r="EIV224" s="863"/>
      <c r="EIW224" s="861"/>
      <c r="EIX224" s="862"/>
      <c r="EIY224" s="862"/>
      <c r="EIZ224" s="862"/>
      <c r="EJA224" s="862"/>
      <c r="EJB224" s="863"/>
      <c r="EJC224" s="861"/>
      <c r="EJD224" s="862"/>
      <c r="EJE224" s="862"/>
      <c r="EJF224" s="862"/>
      <c r="EJG224" s="862"/>
      <c r="EJH224" s="863"/>
      <c r="EJI224" s="861"/>
      <c r="EJJ224" s="862"/>
      <c r="EJK224" s="862"/>
      <c r="EJL224" s="862"/>
      <c r="EJM224" s="862"/>
      <c r="EJN224" s="863"/>
      <c r="EJO224" s="861"/>
      <c r="EJP224" s="862"/>
      <c r="EJQ224" s="862"/>
      <c r="EJR224" s="862"/>
      <c r="EJS224" s="862"/>
      <c r="EJT224" s="863"/>
      <c r="EJU224" s="861"/>
      <c r="EJV224" s="862"/>
      <c r="EJW224" s="862"/>
      <c r="EJX224" s="862"/>
      <c r="EJY224" s="862"/>
      <c r="EJZ224" s="863"/>
      <c r="EKA224" s="861"/>
      <c r="EKB224" s="862"/>
      <c r="EKC224" s="862"/>
      <c r="EKD224" s="862"/>
      <c r="EKE224" s="862"/>
      <c r="EKF224" s="863"/>
      <c r="EKG224" s="861"/>
      <c r="EKH224" s="862"/>
      <c r="EKI224" s="862"/>
      <c r="EKJ224" s="862"/>
      <c r="EKK224" s="862"/>
      <c r="EKL224" s="863"/>
      <c r="EKM224" s="861"/>
      <c r="EKN224" s="862"/>
      <c r="EKO224" s="862"/>
      <c r="EKP224" s="862"/>
      <c r="EKQ224" s="862"/>
      <c r="EKR224" s="863"/>
      <c r="EKS224" s="861"/>
      <c r="EKT224" s="862"/>
      <c r="EKU224" s="862"/>
      <c r="EKV224" s="862"/>
      <c r="EKW224" s="862"/>
      <c r="EKX224" s="863"/>
      <c r="EKY224" s="861"/>
      <c r="EKZ224" s="862"/>
      <c r="ELA224" s="862"/>
      <c r="ELB224" s="862"/>
      <c r="ELC224" s="862"/>
      <c r="ELD224" s="863"/>
      <c r="ELE224" s="861"/>
      <c r="ELF224" s="862"/>
      <c r="ELG224" s="862"/>
      <c r="ELH224" s="862"/>
      <c r="ELI224" s="862"/>
      <c r="ELJ224" s="863"/>
      <c r="ELK224" s="861"/>
      <c r="ELL224" s="862"/>
      <c r="ELM224" s="862"/>
      <c r="ELN224" s="862"/>
      <c r="ELO224" s="862"/>
      <c r="ELP224" s="863"/>
      <c r="ELQ224" s="861"/>
      <c r="ELR224" s="862"/>
      <c r="ELS224" s="862"/>
      <c r="ELT224" s="862"/>
      <c r="ELU224" s="862"/>
      <c r="ELV224" s="863"/>
      <c r="ELW224" s="861"/>
      <c r="ELX224" s="862"/>
      <c r="ELY224" s="862"/>
      <c r="ELZ224" s="862"/>
      <c r="EMA224" s="862"/>
      <c r="EMB224" s="863"/>
      <c r="EMC224" s="861"/>
      <c r="EMD224" s="862"/>
      <c r="EME224" s="862"/>
      <c r="EMF224" s="862"/>
      <c r="EMG224" s="862"/>
      <c r="EMH224" s="863"/>
      <c r="EMI224" s="861"/>
      <c r="EMJ224" s="862"/>
      <c r="EMK224" s="862"/>
      <c r="EML224" s="862"/>
      <c r="EMM224" s="862"/>
      <c r="EMN224" s="863"/>
      <c r="EMO224" s="861"/>
      <c r="EMP224" s="862"/>
      <c r="EMQ224" s="862"/>
      <c r="EMR224" s="862"/>
      <c r="EMS224" s="862"/>
      <c r="EMT224" s="863"/>
      <c r="EMU224" s="861"/>
      <c r="EMV224" s="862"/>
      <c r="EMW224" s="862"/>
      <c r="EMX224" s="862"/>
      <c r="EMY224" s="862"/>
      <c r="EMZ224" s="863"/>
      <c r="ENA224" s="861"/>
      <c r="ENB224" s="862"/>
      <c r="ENC224" s="862"/>
      <c r="END224" s="862"/>
      <c r="ENE224" s="862"/>
      <c r="ENF224" s="863"/>
      <c r="ENG224" s="861"/>
      <c r="ENH224" s="862"/>
      <c r="ENI224" s="862"/>
      <c r="ENJ224" s="862"/>
      <c r="ENK224" s="862"/>
      <c r="ENL224" s="863"/>
      <c r="ENM224" s="861"/>
      <c r="ENN224" s="862"/>
      <c r="ENO224" s="862"/>
      <c r="ENP224" s="862"/>
      <c r="ENQ224" s="862"/>
      <c r="ENR224" s="863"/>
      <c r="ENS224" s="861"/>
      <c r="ENT224" s="862"/>
      <c r="ENU224" s="862"/>
      <c r="ENV224" s="862"/>
      <c r="ENW224" s="862"/>
      <c r="ENX224" s="863"/>
      <c r="ENY224" s="861"/>
      <c r="ENZ224" s="862"/>
      <c r="EOA224" s="862"/>
      <c r="EOB224" s="862"/>
      <c r="EOC224" s="862"/>
      <c r="EOD224" s="863"/>
      <c r="EOE224" s="861"/>
      <c r="EOF224" s="862"/>
      <c r="EOG224" s="862"/>
      <c r="EOH224" s="862"/>
      <c r="EOI224" s="862"/>
      <c r="EOJ224" s="863"/>
      <c r="EOK224" s="861"/>
      <c r="EOL224" s="862"/>
      <c r="EOM224" s="862"/>
      <c r="EON224" s="862"/>
      <c r="EOO224" s="862"/>
      <c r="EOP224" s="863"/>
      <c r="EOQ224" s="861"/>
      <c r="EOR224" s="862"/>
      <c r="EOS224" s="862"/>
      <c r="EOT224" s="862"/>
      <c r="EOU224" s="862"/>
      <c r="EOV224" s="863"/>
      <c r="EOW224" s="861"/>
      <c r="EOX224" s="862"/>
      <c r="EOY224" s="862"/>
      <c r="EOZ224" s="862"/>
      <c r="EPA224" s="862"/>
      <c r="EPB224" s="863"/>
      <c r="EPC224" s="861"/>
      <c r="EPD224" s="862"/>
      <c r="EPE224" s="862"/>
      <c r="EPF224" s="862"/>
      <c r="EPG224" s="862"/>
      <c r="EPH224" s="863"/>
      <c r="EPI224" s="861"/>
      <c r="EPJ224" s="862"/>
      <c r="EPK224" s="862"/>
      <c r="EPL224" s="862"/>
      <c r="EPM224" s="862"/>
      <c r="EPN224" s="863"/>
      <c r="EPO224" s="861"/>
      <c r="EPP224" s="862"/>
      <c r="EPQ224" s="862"/>
      <c r="EPR224" s="862"/>
      <c r="EPS224" s="862"/>
      <c r="EPT224" s="863"/>
      <c r="EPU224" s="861"/>
      <c r="EPV224" s="862"/>
      <c r="EPW224" s="862"/>
      <c r="EPX224" s="862"/>
      <c r="EPY224" s="862"/>
      <c r="EPZ224" s="863"/>
      <c r="EQA224" s="861"/>
      <c r="EQB224" s="862"/>
      <c r="EQC224" s="862"/>
      <c r="EQD224" s="862"/>
      <c r="EQE224" s="862"/>
      <c r="EQF224" s="863"/>
      <c r="EQG224" s="861"/>
      <c r="EQH224" s="862"/>
      <c r="EQI224" s="862"/>
      <c r="EQJ224" s="862"/>
      <c r="EQK224" s="862"/>
      <c r="EQL224" s="863"/>
      <c r="EQM224" s="861"/>
      <c r="EQN224" s="862"/>
      <c r="EQO224" s="862"/>
      <c r="EQP224" s="862"/>
      <c r="EQQ224" s="862"/>
      <c r="EQR224" s="863"/>
      <c r="EQS224" s="861"/>
      <c r="EQT224" s="862"/>
      <c r="EQU224" s="862"/>
      <c r="EQV224" s="862"/>
      <c r="EQW224" s="862"/>
      <c r="EQX224" s="863"/>
      <c r="EQY224" s="861"/>
      <c r="EQZ224" s="862"/>
      <c r="ERA224" s="862"/>
      <c r="ERB224" s="862"/>
      <c r="ERC224" s="862"/>
      <c r="ERD224" s="863"/>
      <c r="ERE224" s="861"/>
      <c r="ERF224" s="862"/>
      <c r="ERG224" s="862"/>
      <c r="ERH224" s="862"/>
      <c r="ERI224" s="862"/>
      <c r="ERJ224" s="863"/>
      <c r="ERK224" s="861"/>
      <c r="ERL224" s="862"/>
      <c r="ERM224" s="862"/>
      <c r="ERN224" s="862"/>
      <c r="ERO224" s="862"/>
      <c r="ERP224" s="863"/>
      <c r="ERQ224" s="861"/>
      <c r="ERR224" s="862"/>
      <c r="ERS224" s="862"/>
      <c r="ERT224" s="862"/>
      <c r="ERU224" s="862"/>
      <c r="ERV224" s="863"/>
      <c r="ERW224" s="861"/>
      <c r="ERX224" s="862"/>
      <c r="ERY224" s="862"/>
      <c r="ERZ224" s="862"/>
      <c r="ESA224" s="862"/>
      <c r="ESB224" s="863"/>
      <c r="ESC224" s="861"/>
      <c r="ESD224" s="862"/>
      <c r="ESE224" s="862"/>
      <c r="ESF224" s="862"/>
      <c r="ESG224" s="862"/>
      <c r="ESH224" s="863"/>
      <c r="ESI224" s="861"/>
      <c r="ESJ224" s="862"/>
      <c r="ESK224" s="862"/>
      <c r="ESL224" s="862"/>
      <c r="ESM224" s="862"/>
      <c r="ESN224" s="863"/>
      <c r="ESO224" s="861"/>
      <c r="ESP224" s="862"/>
      <c r="ESQ224" s="862"/>
      <c r="ESR224" s="862"/>
      <c r="ESS224" s="862"/>
      <c r="EST224" s="863"/>
      <c r="ESU224" s="861"/>
      <c r="ESV224" s="862"/>
      <c r="ESW224" s="862"/>
      <c r="ESX224" s="862"/>
      <c r="ESY224" s="862"/>
      <c r="ESZ224" s="863"/>
      <c r="ETA224" s="861"/>
      <c r="ETB224" s="862"/>
      <c r="ETC224" s="862"/>
      <c r="ETD224" s="862"/>
      <c r="ETE224" s="862"/>
      <c r="ETF224" s="863"/>
      <c r="ETG224" s="861"/>
      <c r="ETH224" s="862"/>
      <c r="ETI224" s="862"/>
      <c r="ETJ224" s="862"/>
      <c r="ETK224" s="862"/>
      <c r="ETL224" s="863"/>
      <c r="ETM224" s="861"/>
      <c r="ETN224" s="862"/>
      <c r="ETO224" s="862"/>
      <c r="ETP224" s="862"/>
      <c r="ETQ224" s="862"/>
      <c r="ETR224" s="863"/>
      <c r="ETS224" s="861"/>
      <c r="ETT224" s="862"/>
      <c r="ETU224" s="862"/>
      <c r="ETV224" s="862"/>
      <c r="ETW224" s="862"/>
      <c r="ETX224" s="863"/>
      <c r="ETY224" s="861"/>
      <c r="ETZ224" s="862"/>
      <c r="EUA224" s="862"/>
      <c r="EUB224" s="862"/>
      <c r="EUC224" s="862"/>
      <c r="EUD224" s="863"/>
      <c r="EUE224" s="861"/>
      <c r="EUF224" s="862"/>
      <c r="EUG224" s="862"/>
      <c r="EUH224" s="862"/>
      <c r="EUI224" s="862"/>
      <c r="EUJ224" s="863"/>
      <c r="EUK224" s="861"/>
      <c r="EUL224" s="862"/>
      <c r="EUM224" s="862"/>
      <c r="EUN224" s="862"/>
      <c r="EUO224" s="862"/>
      <c r="EUP224" s="863"/>
      <c r="EUQ224" s="861"/>
      <c r="EUR224" s="862"/>
      <c r="EUS224" s="862"/>
      <c r="EUT224" s="862"/>
      <c r="EUU224" s="862"/>
      <c r="EUV224" s="863"/>
      <c r="EUW224" s="861"/>
      <c r="EUX224" s="862"/>
      <c r="EUY224" s="862"/>
      <c r="EUZ224" s="862"/>
      <c r="EVA224" s="862"/>
      <c r="EVB224" s="863"/>
      <c r="EVC224" s="861"/>
      <c r="EVD224" s="862"/>
      <c r="EVE224" s="862"/>
      <c r="EVF224" s="862"/>
      <c r="EVG224" s="862"/>
      <c r="EVH224" s="863"/>
      <c r="EVI224" s="861"/>
      <c r="EVJ224" s="862"/>
      <c r="EVK224" s="862"/>
      <c r="EVL224" s="862"/>
      <c r="EVM224" s="862"/>
      <c r="EVN224" s="863"/>
      <c r="EVO224" s="861"/>
      <c r="EVP224" s="862"/>
      <c r="EVQ224" s="862"/>
      <c r="EVR224" s="862"/>
      <c r="EVS224" s="862"/>
      <c r="EVT224" s="863"/>
      <c r="EVU224" s="861"/>
      <c r="EVV224" s="862"/>
      <c r="EVW224" s="862"/>
      <c r="EVX224" s="862"/>
      <c r="EVY224" s="862"/>
      <c r="EVZ224" s="863"/>
      <c r="EWA224" s="861"/>
      <c r="EWB224" s="862"/>
      <c r="EWC224" s="862"/>
      <c r="EWD224" s="862"/>
      <c r="EWE224" s="862"/>
      <c r="EWF224" s="863"/>
      <c r="EWG224" s="861"/>
      <c r="EWH224" s="862"/>
      <c r="EWI224" s="862"/>
      <c r="EWJ224" s="862"/>
      <c r="EWK224" s="862"/>
      <c r="EWL224" s="863"/>
      <c r="EWM224" s="861"/>
      <c r="EWN224" s="862"/>
      <c r="EWO224" s="862"/>
      <c r="EWP224" s="862"/>
      <c r="EWQ224" s="862"/>
      <c r="EWR224" s="863"/>
      <c r="EWS224" s="861"/>
      <c r="EWT224" s="862"/>
      <c r="EWU224" s="862"/>
      <c r="EWV224" s="862"/>
      <c r="EWW224" s="862"/>
      <c r="EWX224" s="863"/>
      <c r="EWY224" s="861"/>
      <c r="EWZ224" s="862"/>
      <c r="EXA224" s="862"/>
      <c r="EXB224" s="862"/>
      <c r="EXC224" s="862"/>
      <c r="EXD224" s="863"/>
      <c r="EXE224" s="861"/>
      <c r="EXF224" s="862"/>
      <c r="EXG224" s="862"/>
      <c r="EXH224" s="862"/>
      <c r="EXI224" s="862"/>
      <c r="EXJ224" s="863"/>
      <c r="EXK224" s="861"/>
      <c r="EXL224" s="862"/>
      <c r="EXM224" s="862"/>
      <c r="EXN224" s="862"/>
      <c r="EXO224" s="862"/>
      <c r="EXP224" s="863"/>
      <c r="EXQ224" s="861"/>
      <c r="EXR224" s="862"/>
      <c r="EXS224" s="862"/>
      <c r="EXT224" s="862"/>
      <c r="EXU224" s="862"/>
      <c r="EXV224" s="863"/>
      <c r="EXW224" s="861"/>
      <c r="EXX224" s="862"/>
      <c r="EXY224" s="862"/>
      <c r="EXZ224" s="862"/>
      <c r="EYA224" s="862"/>
      <c r="EYB224" s="863"/>
      <c r="EYC224" s="861"/>
      <c r="EYD224" s="862"/>
      <c r="EYE224" s="862"/>
      <c r="EYF224" s="862"/>
      <c r="EYG224" s="862"/>
      <c r="EYH224" s="863"/>
      <c r="EYI224" s="861"/>
      <c r="EYJ224" s="862"/>
      <c r="EYK224" s="862"/>
      <c r="EYL224" s="862"/>
      <c r="EYM224" s="862"/>
      <c r="EYN224" s="863"/>
      <c r="EYO224" s="861"/>
      <c r="EYP224" s="862"/>
      <c r="EYQ224" s="862"/>
      <c r="EYR224" s="862"/>
      <c r="EYS224" s="862"/>
      <c r="EYT224" s="863"/>
      <c r="EYU224" s="861"/>
      <c r="EYV224" s="862"/>
      <c r="EYW224" s="862"/>
      <c r="EYX224" s="862"/>
      <c r="EYY224" s="862"/>
      <c r="EYZ224" s="863"/>
      <c r="EZA224" s="861"/>
      <c r="EZB224" s="862"/>
      <c r="EZC224" s="862"/>
      <c r="EZD224" s="862"/>
      <c r="EZE224" s="862"/>
      <c r="EZF224" s="863"/>
      <c r="EZG224" s="861"/>
      <c r="EZH224" s="862"/>
      <c r="EZI224" s="862"/>
      <c r="EZJ224" s="862"/>
      <c r="EZK224" s="862"/>
      <c r="EZL224" s="863"/>
      <c r="EZM224" s="861"/>
      <c r="EZN224" s="862"/>
      <c r="EZO224" s="862"/>
      <c r="EZP224" s="862"/>
      <c r="EZQ224" s="862"/>
      <c r="EZR224" s="863"/>
      <c r="EZS224" s="861"/>
      <c r="EZT224" s="862"/>
      <c r="EZU224" s="862"/>
      <c r="EZV224" s="862"/>
      <c r="EZW224" s="862"/>
      <c r="EZX224" s="863"/>
      <c r="EZY224" s="861"/>
      <c r="EZZ224" s="862"/>
      <c r="FAA224" s="862"/>
      <c r="FAB224" s="862"/>
      <c r="FAC224" s="862"/>
      <c r="FAD224" s="863"/>
      <c r="FAE224" s="861"/>
      <c r="FAF224" s="862"/>
      <c r="FAG224" s="862"/>
      <c r="FAH224" s="862"/>
      <c r="FAI224" s="862"/>
      <c r="FAJ224" s="863"/>
      <c r="FAK224" s="861"/>
      <c r="FAL224" s="862"/>
      <c r="FAM224" s="862"/>
      <c r="FAN224" s="862"/>
      <c r="FAO224" s="862"/>
      <c r="FAP224" s="863"/>
      <c r="FAQ224" s="861"/>
      <c r="FAR224" s="862"/>
      <c r="FAS224" s="862"/>
      <c r="FAT224" s="862"/>
      <c r="FAU224" s="862"/>
      <c r="FAV224" s="863"/>
      <c r="FAW224" s="861"/>
      <c r="FAX224" s="862"/>
      <c r="FAY224" s="862"/>
      <c r="FAZ224" s="862"/>
      <c r="FBA224" s="862"/>
      <c r="FBB224" s="863"/>
      <c r="FBC224" s="861"/>
      <c r="FBD224" s="862"/>
      <c r="FBE224" s="862"/>
      <c r="FBF224" s="862"/>
      <c r="FBG224" s="862"/>
      <c r="FBH224" s="863"/>
      <c r="FBI224" s="861"/>
      <c r="FBJ224" s="862"/>
      <c r="FBK224" s="862"/>
      <c r="FBL224" s="862"/>
      <c r="FBM224" s="862"/>
      <c r="FBN224" s="863"/>
      <c r="FBO224" s="861"/>
      <c r="FBP224" s="862"/>
      <c r="FBQ224" s="862"/>
      <c r="FBR224" s="862"/>
      <c r="FBS224" s="862"/>
      <c r="FBT224" s="863"/>
      <c r="FBU224" s="861"/>
      <c r="FBV224" s="862"/>
      <c r="FBW224" s="862"/>
      <c r="FBX224" s="862"/>
      <c r="FBY224" s="862"/>
      <c r="FBZ224" s="863"/>
      <c r="FCA224" s="861"/>
      <c r="FCB224" s="862"/>
      <c r="FCC224" s="862"/>
      <c r="FCD224" s="862"/>
      <c r="FCE224" s="862"/>
      <c r="FCF224" s="863"/>
      <c r="FCG224" s="861"/>
      <c r="FCH224" s="862"/>
      <c r="FCI224" s="862"/>
      <c r="FCJ224" s="862"/>
      <c r="FCK224" s="862"/>
      <c r="FCL224" s="863"/>
      <c r="FCM224" s="861"/>
      <c r="FCN224" s="862"/>
      <c r="FCO224" s="862"/>
      <c r="FCP224" s="862"/>
      <c r="FCQ224" s="862"/>
      <c r="FCR224" s="863"/>
      <c r="FCS224" s="861"/>
      <c r="FCT224" s="862"/>
      <c r="FCU224" s="862"/>
      <c r="FCV224" s="862"/>
      <c r="FCW224" s="862"/>
      <c r="FCX224" s="863"/>
      <c r="FCY224" s="861"/>
      <c r="FCZ224" s="862"/>
      <c r="FDA224" s="862"/>
      <c r="FDB224" s="862"/>
      <c r="FDC224" s="862"/>
      <c r="FDD224" s="863"/>
      <c r="FDE224" s="861"/>
      <c r="FDF224" s="862"/>
      <c r="FDG224" s="862"/>
      <c r="FDH224" s="862"/>
      <c r="FDI224" s="862"/>
      <c r="FDJ224" s="863"/>
      <c r="FDK224" s="861"/>
      <c r="FDL224" s="862"/>
      <c r="FDM224" s="862"/>
      <c r="FDN224" s="862"/>
      <c r="FDO224" s="862"/>
      <c r="FDP224" s="863"/>
      <c r="FDQ224" s="861"/>
      <c r="FDR224" s="862"/>
      <c r="FDS224" s="862"/>
      <c r="FDT224" s="862"/>
      <c r="FDU224" s="862"/>
      <c r="FDV224" s="863"/>
      <c r="FDW224" s="861"/>
      <c r="FDX224" s="862"/>
      <c r="FDY224" s="862"/>
      <c r="FDZ224" s="862"/>
      <c r="FEA224" s="862"/>
      <c r="FEB224" s="863"/>
      <c r="FEC224" s="861"/>
      <c r="FED224" s="862"/>
      <c r="FEE224" s="862"/>
      <c r="FEF224" s="862"/>
      <c r="FEG224" s="862"/>
      <c r="FEH224" s="863"/>
      <c r="FEI224" s="861"/>
      <c r="FEJ224" s="862"/>
      <c r="FEK224" s="862"/>
      <c r="FEL224" s="862"/>
      <c r="FEM224" s="862"/>
      <c r="FEN224" s="863"/>
      <c r="FEO224" s="861"/>
      <c r="FEP224" s="862"/>
      <c r="FEQ224" s="862"/>
      <c r="FER224" s="862"/>
      <c r="FES224" s="862"/>
      <c r="FET224" s="863"/>
      <c r="FEU224" s="861"/>
      <c r="FEV224" s="862"/>
      <c r="FEW224" s="862"/>
      <c r="FEX224" s="862"/>
      <c r="FEY224" s="862"/>
      <c r="FEZ224" s="863"/>
      <c r="FFA224" s="861"/>
      <c r="FFB224" s="862"/>
      <c r="FFC224" s="862"/>
      <c r="FFD224" s="862"/>
      <c r="FFE224" s="862"/>
      <c r="FFF224" s="863"/>
      <c r="FFG224" s="861"/>
      <c r="FFH224" s="862"/>
      <c r="FFI224" s="862"/>
      <c r="FFJ224" s="862"/>
      <c r="FFK224" s="862"/>
      <c r="FFL224" s="863"/>
      <c r="FFM224" s="861"/>
      <c r="FFN224" s="862"/>
      <c r="FFO224" s="862"/>
      <c r="FFP224" s="862"/>
      <c r="FFQ224" s="862"/>
      <c r="FFR224" s="863"/>
      <c r="FFS224" s="861"/>
      <c r="FFT224" s="862"/>
      <c r="FFU224" s="862"/>
      <c r="FFV224" s="862"/>
      <c r="FFW224" s="862"/>
      <c r="FFX224" s="863"/>
      <c r="FFY224" s="861"/>
      <c r="FFZ224" s="862"/>
      <c r="FGA224" s="862"/>
      <c r="FGB224" s="862"/>
      <c r="FGC224" s="862"/>
      <c r="FGD224" s="863"/>
      <c r="FGE224" s="861"/>
      <c r="FGF224" s="862"/>
      <c r="FGG224" s="862"/>
      <c r="FGH224" s="862"/>
      <c r="FGI224" s="862"/>
      <c r="FGJ224" s="863"/>
      <c r="FGK224" s="861"/>
      <c r="FGL224" s="862"/>
      <c r="FGM224" s="862"/>
      <c r="FGN224" s="862"/>
      <c r="FGO224" s="862"/>
      <c r="FGP224" s="863"/>
      <c r="FGQ224" s="861"/>
      <c r="FGR224" s="862"/>
      <c r="FGS224" s="862"/>
      <c r="FGT224" s="862"/>
      <c r="FGU224" s="862"/>
      <c r="FGV224" s="863"/>
      <c r="FGW224" s="861"/>
      <c r="FGX224" s="862"/>
      <c r="FGY224" s="862"/>
      <c r="FGZ224" s="862"/>
      <c r="FHA224" s="862"/>
      <c r="FHB224" s="863"/>
      <c r="FHC224" s="861"/>
      <c r="FHD224" s="862"/>
      <c r="FHE224" s="862"/>
      <c r="FHF224" s="862"/>
      <c r="FHG224" s="862"/>
      <c r="FHH224" s="863"/>
      <c r="FHI224" s="861"/>
      <c r="FHJ224" s="862"/>
      <c r="FHK224" s="862"/>
      <c r="FHL224" s="862"/>
      <c r="FHM224" s="862"/>
      <c r="FHN224" s="863"/>
      <c r="FHO224" s="861"/>
      <c r="FHP224" s="862"/>
      <c r="FHQ224" s="862"/>
      <c r="FHR224" s="862"/>
      <c r="FHS224" s="862"/>
      <c r="FHT224" s="863"/>
      <c r="FHU224" s="861"/>
      <c r="FHV224" s="862"/>
      <c r="FHW224" s="862"/>
      <c r="FHX224" s="862"/>
      <c r="FHY224" s="862"/>
      <c r="FHZ224" s="863"/>
      <c r="FIA224" s="861"/>
      <c r="FIB224" s="862"/>
      <c r="FIC224" s="862"/>
      <c r="FID224" s="862"/>
      <c r="FIE224" s="862"/>
      <c r="FIF224" s="863"/>
      <c r="FIG224" s="861"/>
      <c r="FIH224" s="862"/>
      <c r="FII224" s="862"/>
      <c r="FIJ224" s="862"/>
      <c r="FIK224" s="862"/>
      <c r="FIL224" s="863"/>
      <c r="FIM224" s="861"/>
      <c r="FIN224" s="862"/>
      <c r="FIO224" s="862"/>
      <c r="FIP224" s="862"/>
      <c r="FIQ224" s="862"/>
      <c r="FIR224" s="863"/>
      <c r="FIS224" s="861"/>
      <c r="FIT224" s="862"/>
      <c r="FIU224" s="862"/>
      <c r="FIV224" s="862"/>
      <c r="FIW224" s="862"/>
      <c r="FIX224" s="863"/>
      <c r="FIY224" s="861"/>
      <c r="FIZ224" s="862"/>
      <c r="FJA224" s="862"/>
      <c r="FJB224" s="862"/>
      <c r="FJC224" s="862"/>
      <c r="FJD224" s="863"/>
      <c r="FJE224" s="861"/>
      <c r="FJF224" s="862"/>
      <c r="FJG224" s="862"/>
      <c r="FJH224" s="862"/>
      <c r="FJI224" s="862"/>
      <c r="FJJ224" s="863"/>
      <c r="FJK224" s="861"/>
      <c r="FJL224" s="862"/>
      <c r="FJM224" s="862"/>
      <c r="FJN224" s="862"/>
      <c r="FJO224" s="862"/>
      <c r="FJP224" s="863"/>
      <c r="FJQ224" s="861"/>
      <c r="FJR224" s="862"/>
      <c r="FJS224" s="862"/>
      <c r="FJT224" s="862"/>
      <c r="FJU224" s="862"/>
      <c r="FJV224" s="863"/>
      <c r="FJW224" s="861"/>
      <c r="FJX224" s="862"/>
      <c r="FJY224" s="862"/>
      <c r="FJZ224" s="862"/>
      <c r="FKA224" s="862"/>
      <c r="FKB224" s="863"/>
      <c r="FKC224" s="861"/>
      <c r="FKD224" s="862"/>
      <c r="FKE224" s="862"/>
      <c r="FKF224" s="862"/>
      <c r="FKG224" s="862"/>
      <c r="FKH224" s="863"/>
      <c r="FKI224" s="861"/>
      <c r="FKJ224" s="862"/>
      <c r="FKK224" s="862"/>
      <c r="FKL224" s="862"/>
      <c r="FKM224" s="862"/>
      <c r="FKN224" s="863"/>
      <c r="FKO224" s="861"/>
      <c r="FKP224" s="862"/>
      <c r="FKQ224" s="862"/>
      <c r="FKR224" s="862"/>
      <c r="FKS224" s="862"/>
      <c r="FKT224" s="863"/>
      <c r="FKU224" s="861"/>
      <c r="FKV224" s="862"/>
      <c r="FKW224" s="862"/>
      <c r="FKX224" s="862"/>
      <c r="FKY224" s="862"/>
      <c r="FKZ224" s="863"/>
      <c r="FLA224" s="861"/>
      <c r="FLB224" s="862"/>
      <c r="FLC224" s="862"/>
      <c r="FLD224" s="862"/>
      <c r="FLE224" s="862"/>
      <c r="FLF224" s="863"/>
      <c r="FLG224" s="861"/>
      <c r="FLH224" s="862"/>
      <c r="FLI224" s="862"/>
      <c r="FLJ224" s="862"/>
      <c r="FLK224" s="862"/>
      <c r="FLL224" s="863"/>
      <c r="FLM224" s="861"/>
      <c r="FLN224" s="862"/>
      <c r="FLO224" s="862"/>
      <c r="FLP224" s="862"/>
      <c r="FLQ224" s="862"/>
      <c r="FLR224" s="863"/>
      <c r="FLS224" s="861"/>
      <c r="FLT224" s="862"/>
      <c r="FLU224" s="862"/>
      <c r="FLV224" s="862"/>
      <c r="FLW224" s="862"/>
      <c r="FLX224" s="863"/>
      <c r="FLY224" s="861"/>
      <c r="FLZ224" s="862"/>
      <c r="FMA224" s="862"/>
      <c r="FMB224" s="862"/>
      <c r="FMC224" s="862"/>
      <c r="FMD224" s="863"/>
      <c r="FME224" s="861"/>
      <c r="FMF224" s="862"/>
      <c r="FMG224" s="862"/>
      <c r="FMH224" s="862"/>
      <c r="FMI224" s="862"/>
      <c r="FMJ224" s="863"/>
      <c r="FMK224" s="861"/>
      <c r="FML224" s="862"/>
      <c r="FMM224" s="862"/>
      <c r="FMN224" s="862"/>
      <c r="FMO224" s="862"/>
      <c r="FMP224" s="863"/>
      <c r="FMQ224" s="861"/>
      <c r="FMR224" s="862"/>
      <c r="FMS224" s="862"/>
      <c r="FMT224" s="862"/>
      <c r="FMU224" s="862"/>
      <c r="FMV224" s="863"/>
      <c r="FMW224" s="861"/>
      <c r="FMX224" s="862"/>
      <c r="FMY224" s="862"/>
      <c r="FMZ224" s="862"/>
      <c r="FNA224" s="862"/>
      <c r="FNB224" s="863"/>
      <c r="FNC224" s="861"/>
      <c r="FND224" s="862"/>
      <c r="FNE224" s="862"/>
      <c r="FNF224" s="862"/>
      <c r="FNG224" s="862"/>
      <c r="FNH224" s="863"/>
      <c r="FNI224" s="861"/>
      <c r="FNJ224" s="862"/>
      <c r="FNK224" s="862"/>
      <c r="FNL224" s="862"/>
      <c r="FNM224" s="862"/>
      <c r="FNN224" s="863"/>
      <c r="FNO224" s="861"/>
      <c r="FNP224" s="862"/>
      <c r="FNQ224" s="862"/>
      <c r="FNR224" s="862"/>
      <c r="FNS224" s="862"/>
      <c r="FNT224" s="863"/>
      <c r="FNU224" s="861"/>
      <c r="FNV224" s="862"/>
      <c r="FNW224" s="862"/>
      <c r="FNX224" s="862"/>
      <c r="FNY224" s="862"/>
      <c r="FNZ224" s="863"/>
      <c r="FOA224" s="861"/>
      <c r="FOB224" s="862"/>
      <c r="FOC224" s="862"/>
      <c r="FOD224" s="862"/>
      <c r="FOE224" s="862"/>
      <c r="FOF224" s="863"/>
      <c r="FOG224" s="861"/>
      <c r="FOH224" s="862"/>
      <c r="FOI224" s="862"/>
      <c r="FOJ224" s="862"/>
      <c r="FOK224" s="862"/>
      <c r="FOL224" s="863"/>
      <c r="FOM224" s="861"/>
      <c r="FON224" s="862"/>
      <c r="FOO224" s="862"/>
      <c r="FOP224" s="862"/>
      <c r="FOQ224" s="862"/>
      <c r="FOR224" s="863"/>
      <c r="FOS224" s="861"/>
      <c r="FOT224" s="862"/>
      <c r="FOU224" s="862"/>
      <c r="FOV224" s="862"/>
      <c r="FOW224" s="862"/>
      <c r="FOX224" s="863"/>
      <c r="FOY224" s="861"/>
      <c r="FOZ224" s="862"/>
      <c r="FPA224" s="862"/>
      <c r="FPB224" s="862"/>
      <c r="FPC224" s="862"/>
      <c r="FPD224" s="863"/>
      <c r="FPE224" s="861"/>
      <c r="FPF224" s="862"/>
      <c r="FPG224" s="862"/>
      <c r="FPH224" s="862"/>
      <c r="FPI224" s="862"/>
      <c r="FPJ224" s="863"/>
      <c r="FPK224" s="861"/>
      <c r="FPL224" s="862"/>
      <c r="FPM224" s="862"/>
      <c r="FPN224" s="862"/>
      <c r="FPO224" s="862"/>
      <c r="FPP224" s="863"/>
      <c r="FPQ224" s="861"/>
      <c r="FPR224" s="862"/>
      <c r="FPS224" s="862"/>
      <c r="FPT224" s="862"/>
      <c r="FPU224" s="862"/>
      <c r="FPV224" s="863"/>
      <c r="FPW224" s="861"/>
      <c r="FPX224" s="862"/>
      <c r="FPY224" s="862"/>
      <c r="FPZ224" s="862"/>
      <c r="FQA224" s="862"/>
      <c r="FQB224" s="863"/>
      <c r="FQC224" s="861"/>
      <c r="FQD224" s="862"/>
      <c r="FQE224" s="862"/>
      <c r="FQF224" s="862"/>
      <c r="FQG224" s="862"/>
      <c r="FQH224" s="863"/>
      <c r="FQI224" s="861"/>
      <c r="FQJ224" s="862"/>
      <c r="FQK224" s="862"/>
      <c r="FQL224" s="862"/>
      <c r="FQM224" s="862"/>
      <c r="FQN224" s="863"/>
      <c r="FQO224" s="861"/>
      <c r="FQP224" s="862"/>
      <c r="FQQ224" s="862"/>
      <c r="FQR224" s="862"/>
      <c r="FQS224" s="862"/>
      <c r="FQT224" s="863"/>
      <c r="FQU224" s="861"/>
      <c r="FQV224" s="862"/>
      <c r="FQW224" s="862"/>
      <c r="FQX224" s="862"/>
      <c r="FQY224" s="862"/>
      <c r="FQZ224" s="863"/>
      <c r="FRA224" s="861"/>
      <c r="FRB224" s="862"/>
      <c r="FRC224" s="862"/>
      <c r="FRD224" s="862"/>
      <c r="FRE224" s="862"/>
      <c r="FRF224" s="863"/>
      <c r="FRG224" s="861"/>
      <c r="FRH224" s="862"/>
      <c r="FRI224" s="862"/>
      <c r="FRJ224" s="862"/>
      <c r="FRK224" s="862"/>
      <c r="FRL224" s="863"/>
      <c r="FRM224" s="861"/>
      <c r="FRN224" s="862"/>
      <c r="FRO224" s="862"/>
      <c r="FRP224" s="862"/>
      <c r="FRQ224" s="862"/>
      <c r="FRR224" s="863"/>
      <c r="FRS224" s="861"/>
      <c r="FRT224" s="862"/>
      <c r="FRU224" s="862"/>
      <c r="FRV224" s="862"/>
      <c r="FRW224" s="862"/>
      <c r="FRX224" s="863"/>
      <c r="FRY224" s="861"/>
      <c r="FRZ224" s="862"/>
      <c r="FSA224" s="862"/>
      <c r="FSB224" s="862"/>
      <c r="FSC224" s="862"/>
      <c r="FSD224" s="863"/>
      <c r="FSE224" s="861"/>
      <c r="FSF224" s="862"/>
      <c r="FSG224" s="862"/>
      <c r="FSH224" s="862"/>
      <c r="FSI224" s="862"/>
      <c r="FSJ224" s="863"/>
      <c r="FSK224" s="861"/>
      <c r="FSL224" s="862"/>
      <c r="FSM224" s="862"/>
      <c r="FSN224" s="862"/>
      <c r="FSO224" s="862"/>
      <c r="FSP224" s="863"/>
      <c r="FSQ224" s="861"/>
      <c r="FSR224" s="862"/>
      <c r="FSS224" s="862"/>
      <c r="FST224" s="862"/>
      <c r="FSU224" s="862"/>
      <c r="FSV224" s="863"/>
      <c r="FSW224" s="861"/>
      <c r="FSX224" s="862"/>
      <c r="FSY224" s="862"/>
      <c r="FSZ224" s="862"/>
      <c r="FTA224" s="862"/>
      <c r="FTB224" s="863"/>
      <c r="FTC224" s="861"/>
      <c r="FTD224" s="862"/>
      <c r="FTE224" s="862"/>
      <c r="FTF224" s="862"/>
      <c r="FTG224" s="862"/>
      <c r="FTH224" s="863"/>
      <c r="FTI224" s="861"/>
      <c r="FTJ224" s="862"/>
      <c r="FTK224" s="862"/>
      <c r="FTL224" s="862"/>
      <c r="FTM224" s="862"/>
      <c r="FTN224" s="863"/>
      <c r="FTO224" s="861"/>
      <c r="FTP224" s="862"/>
      <c r="FTQ224" s="862"/>
      <c r="FTR224" s="862"/>
      <c r="FTS224" s="862"/>
      <c r="FTT224" s="863"/>
      <c r="FTU224" s="861"/>
      <c r="FTV224" s="862"/>
      <c r="FTW224" s="862"/>
      <c r="FTX224" s="862"/>
      <c r="FTY224" s="862"/>
      <c r="FTZ224" s="863"/>
      <c r="FUA224" s="861"/>
      <c r="FUB224" s="862"/>
      <c r="FUC224" s="862"/>
      <c r="FUD224" s="862"/>
      <c r="FUE224" s="862"/>
      <c r="FUF224" s="863"/>
      <c r="FUG224" s="861"/>
      <c r="FUH224" s="862"/>
      <c r="FUI224" s="862"/>
      <c r="FUJ224" s="862"/>
      <c r="FUK224" s="862"/>
      <c r="FUL224" s="863"/>
      <c r="FUM224" s="861"/>
      <c r="FUN224" s="862"/>
      <c r="FUO224" s="862"/>
      <c r="FUP224" s="862"/>
      <c r="FUQ224" s="862"/>
      <c r="FUR224" s="863"/>
      <c r="FUS224" s="861"/>
      <c r="FUT224" s="862"/>
      <c r="FUU224" s="862"/>
      <c r="FUV224" s="862"/>
      <c r="FUW224" s="862"/>
      <c r="FUX224" s="863"/>
      <c r="FUY224" s="861"/>
      <c r="FUZ224" s="862"/>
      <c r="FVA224" s="862"/>
      <c r="FVB224" s="862"/>
      <c r="FVC224" s="862"/>
      <c r="FVD224" s="863"/>
      <c r="FVE224" s="861"/>
      <c r="FVF224" s="862"/>
      <c r="FVG224" s="862"/>
      <c r="FVH224" s="862"/>
      <c r="FVI224" s="862"/>
      <c r="FVJ224" s="863"/>
      <c r="FVK224" s="861"/>
      <c r="FVL224" s="862"/>
      <c r="FVM224" s="862"/>
      <c r="FVN224" s="862"/>
      <c r="FVO224" s="862"/>
      <c r="FVP224" s="863"/>
      <c r="FVQ224" s="861"/>
      <c r="FVR224" s="862"/>
      <c r="FVS224" s="862"/>
      <c r="FVT224" s="862"/>
      <c r="FVU224" s="862"/>
      <c r="FVV224" s="863"/>
      <c r="FVW224" s="861"/>
      <c r="FVX224" s="862"/>
      <c r="FVY224" s="862"/>
      <c r="FVZ224" s="862"/>
      <c r="FWA224" s="862"/>
      <c r="FWB224" s="863"/>
      <c r="FWC224" s="861"/>
      <c r="FWD224" s="862"/>
      <c r="FWE224" s="862"/>
      <c r="FWF224" s="862"/>
      <c r="FWG224" s="862"/>
      <c r="FWH224" s="863"/>
      <c r="FWI224" s="861"/>
      <c r="FWJ224" s="862"/>
      <c r="FWK224" s="862"/>
      <c r="FWL224" s="862"/>
      <c r="FWM224" s="862"/>
      <c r="FWN224" s="863"/>
      <c r="FWO224" s="861"/>
      <c r="FWP224" s="862"/>
      <c r="FWQ224" s="862"/>
      <c r="FWR224" s="862"/>
      <c r="FWS224" s="862"/>
      <c r="FWT224" s="863"/>
      <c r="FWU224" s="861"/>
      <c r="FWV224" s="862"/>
      <c r="FWW224" s="862"/>
      <c r="FWX224" s="862"/>
      <c r="FWY224" s="862"/>
      <c r="FWZ224" s="863"/>
      <c r="FXA224" s="861"/>
      <c r="FXB224" s="862"/>
      <c r="FXC224" s="862"/>
      <c r="FXD224" s="862"/>
      <c r="FXE224" s="862"/>
      <c r="FXF224" s="863"/>
      <c r="FXG224" s="861"/>
      <c r="FXH224" s="862"/>
      <c r="FXI224" s="862"/>
      <c r="FXJ224" s="862"/>
      <c r="FXK224" s="862"/>
      <c r="FXL224" s="863"/>
      <c r="FXM224" s="861"/>
      <c r="FXN224" s="862"/>
      <c r="FXO224" s="862"/>
      <c r="FXP224" s="862"/>
      <c r="FXQ224" s="862"/>
      <c r="FXR224" s="863"/>
      <c r="FXS224" s="861"/>
      <c r="FXT224" s="862"/>
      <c r="FXU224" s="862"/>
      <c r="FXV224" s="862"/>
      <c r="FXW224" s="862"/>
      <c r="FXX224" s="863"/>
      <c r="FXY224" s="861"/>
      <c r="FXZ224" s="862"/>
      <c r="FYA224" s="862"/>
      <c r="FYB224" s="862"/>
      <c r="FYC224" s="862"/>
      <c r="FYD224" s="863"/>
      <c r="FYE224" s="861"/>
      <c r="FYF224" s="862"/>
      <c r="FYG224" s="862"/>
      <c r="FYH224" s="862"/>
      <c r="FYI224" s="862"/>
      <c r="FYJ224" s="863"/>
      <c r="FYK224" s="861"/>
      <c r="FYL224" s="862"/>
      <c r="FYM224" s="862"/>
      <c r="FYN224" s="862"/>
      <c r="FYO224" s="862"/>
      <c r="FYP224" s="863"/>
      <c r="FYQ224" s="861"/>
      <c r="FYR224" s="862"/>
      <c r="FYS224" s="862"/>
      <c r="FYT224" s="862"/>
      <c r="FYU224" s="862"/>
      <c r="FYV224" s="863"/>
      <c r="FYW224" s="861"/>
      <c r="FYX224" s="862"/>
      <c r="FYY224" s="862"/>
      <c r="FYZ224" s="862"/>
      <c r="FZA224" s="862"/>
      <c r="FZB224" s="863"/>
      <c r="FZC224" s="861"/>
      <c r="FZD224" s="862"/>
      <c r="FZE224" s="862"/>
      <c r="FZF224" s="862"/>
      <c r="FZG224" s="862"/>
      <c r="FZH224" s="863"/>
      <c r="FZI224" s="861"/>
      <c r="FZJ224" s="862"/>
      <c r="FZK224" s="862"/>
      <c r="FZL224" s="862"/>
      <c r="FZM224" s="862"/>
      <c r="FZN224" s="863"/>
      <c r="FZO224" s="861"/>
      <c r="FZP224" s="862"/>
      <c r="FZQ224" s="862"/>
      <c r="FZR224" s="862"/>
      <c r="FZS224" s="862"/>
      <c r="FZT224" s="863"/>
      <c r="FZU224" s="861"/>
      <c r="FZV224" s="862"/>
      <c r="FZW224" s="862"/>
      <c r="FZX224" s="862"/>
      <c r="FZY224" s="862"/>
      <c r="FZZ224" s="863"/>
      <c r="GAA224" s="861"/>
      <c r="GAB224" s="862"/>
      <c r="GAC224" s="862"/>
      <c r="GAD224" s="862"/>
      <c r="GAE224" s="862"/>
      <c r="GAF224" s="863"/>
      <c r="GAG224" s="861"/>
      <c r="GAH224" s="862"/>
      <c r="GAI224" s="862"/>
      <c r="GAJ224" s="862"/>
      <c r="GAK224" s="862"/>
      <c r="GAL224" s="863"/>
      <c r="GAM224" s="861"/>
      <c r="GAN224" s="862"/>
      <c r="GAO224" s="862"/>
      <c r="GAP224" s="862"/>
      <c r="GAQ224" s="862"/>
      <c r="GAR224" s="863"/>
      <c r="GAS224" s="861"/>
      <c r="GAT224" s="862"/>
      <c r="GAU224" s="862"/>
      <c r="GAV224" s="862"/>
      <c r="GAW224" s="862"/>
      <c r="GAX224" s="863"/>
      <c r="GAY224" s="861"/>
      <c r="GAZ224" s="862"/>
      <c r="GBA224" s="862"/>
      <c r="GBB224" s="862"/>
      <c r="GBC224" s="862"/>
      <c r="GBD224" s="863"/>
      <c r="GBE224" s="861"/>
      <c r="GBF224" s="862"/>
      <c r="GBG224" s="862"/>
      <c r="GBH224" s="862"/>
      <c r="GBI224" s="862"/>
      <c r="GBJ224" s="863"/>
      <c r="GBK224" s="861"/>
      <c r="GBL224" s="862"/>
      <c r="GBM224" s="862"/>
      <c r="GBN224" s="862"/>
      <c r="GBO224" s="862"/>
      <c r="GBP224" s="863"/>
      <c r="GBQ224" s="861"/>
      <c r="GBR224" s="862"/>
      <c r="GBS224" s="862"/>
      <c r="GBT224" s="862"/>
      <c r="GBU224" s="862"/>
      <c r="GBV224" s="863"/>
      <c r="GBW224" s="861"/>
      <c r="GBX224" s="862"/>
      <c r="GBY224" s="862"/>
      <c r="GBZ224" s="862"/>
      <c r="GCA224" s="862"/>
      <c r="GCB224" s="863"/>
      <c r="GCC224" s="861"/>
      <c r="GCD224" s="862"/>
      <c r="GCE224" s="862"/>
      <c r="GCF224" s="862"/>
      <c r="GCG224" s="862"/>
      <c r="GCH224" s="863"/>
      <c r="GCI224" s="861"/>
      <c r="GCJ224" s="862"/>
      <c r="GCK224" s="862"/>
      <c r="GCL224" s="862"/>
      <c r="GCM224" s="862"/>
      <c r="GCN224" s="863"/>
      <c r="GCO224" s="861"/>
      <c r="GCP224" s="862"/>
      <c r="GCQ224" s="862"/>
      <c r="GCR224" s="862"/>
      <c r="GCS224" s="862"/>
      <c r="GCT224" s="863"/>
      <c r="GCU224" s="861"/>
      <c r="GCV224" s="862"/>
      <c r="GCW224" s="862"/>
      <c r="GCX224" s="862"/>
      <c r="GCY224" s="862"/>
      <c r="GCZ224" s="863"/>
      <c r="GDA224" s="861"/>
      <c r="GDB224" s="862"/>
      <c r="GDC224" s="862"/>
      <c r="GDD224" s="862"/>
      <c r="GDE224" s="862"/>
      <c r="GDF224" s="863"/>
      <c r="GDG224" s="861"/>
      <c r="GDH224" s="862"/>
      <c r="GDI224" s="862"/>
      <c r="GDJ224" s="862"/>
      <c r="GDK224" s="862"/>
      <c r="GDL224" s="863"/>
      <c r="GDM224" s="861"/>
      <c r="GDN224" s="862"/>
      <c r="GDO224" s="862"/>
      <c r="GDP224" s="862"/>
      <c r="GDQ224" s="862"/>
      <c r="GDR224" s="863"/>
      <c r="GDS224" s="861"/>
      <c r="GDT224" s="862"/>
      <c r="GDU224" s="862"/>
      <c r="GDV224" s="862"/>
      <c r="GDW224" s="862"/>
      <c r="GDX224" s="863"/>
      <c r="GDY224" s="861"/>
      <c r="GDZ224" s="862"/>
      <c r="GEA224" s="862"/>
      <c r="GEB224" s="862"/>
      <c r="GEC224" s="862"/>
      <c r="GED224" s="863"/>
      <c r="GEE224" s="861"/>
      <c r="GEF224" s="862"/>
      <c r="GEG224" s="862"/>
      <c r="GEH224" s="862"/>
      <c r="GEI224" s="862"/>
      <c r="GEJ224" s="863"/>
      <c r="GEK224" s="861"/>
      <c r="GEL224" s="862"/>
      <c r="GEM224" s="862"/>
      <c r="GEN224" s="862"/>
      <c r="GEO224" s="862"/>
      <c r="GEP224" s="863"/>
      <c r="GEQ224" s="861"/>
      <c r="GER224" s="862"/>
      <c r="GES224" s="862"/>
      <c r="GET224" s="862"/>
      <c r="GEU224" s="862"/>
      <c r="GEV224" s="863"/>
      <c r="GEW224" s="861"/>
      <c r="GEX224" s="862"/>
      <c r="GEY224" s="862"/>
      <c r="GEZ224" s="862"/>
      <c r="GFA224" s="862"/>
      <c r="GFB224" s="863"/>
      <c r="GFC224" s="861"/>
      <c r="GFD224" s="862"/>
      <c r="GFE224" s="862"/>
      <c r="GFF224" s="862"/>
      <c r="GFG224" s="862"/>
      <c r="GFH224" s="863"/>
      <c r="GFI224" s="861"/>
      <c r="GFJ224" s="862"/>
      <c r="GFK224" s="862"/>
      <c r="GFL224" s="862"/>
      <c r="GFM224" s="862"/>
      <c r="GFN224" s="863"/>
      <c r="GFO224" s="861"/>
      <c r="GFP224" s="862"/>
      <c r="GFQ224" s="862"/>
      <c r="GFR224" s="862"/>
      <c r="GFS224" s="862"/>
      <c r="GFT224" s="863"/>
      <c r="GFU224" s="861"/>
      <c r="GFV224" s="862"/>
      <c r="GFW224" s="862"/>
      <c r="GFX224" s="862"/>
      <c r="GFY224" s="862"/>
      <c r="GFZ224" s="863"/>
      <c r="GGA224" s="861"/>
      <c r="GGB224" s="862"/>
      <c r="GGC224" s="862"/>
      <c r="GGD224" s="862"/>
      <c r="GGE224" s="862"/>
      <c r="GGF224" s="863"/>
      <c r="GGG224" s="861"/>
      <c r="GGH224" s="862"/>
      <c r="GGI224" s="862"/>
      <c r="GGJ224" s="862"/>
      <c r="GGK224" s="862"/>
      <c r="GGL224" s="863"/>
      <c r="GGM224" s="861"/>
      <c r="GGN224" s="862"/>
      <c r="GGO224" s="862"/>
      <c r="GGP224" s="862"/>
      <c r="GGQ224" s="862"/>
      <c r="GGR224" s="863"/>
      <c r="GGS224" s="861"/>
      <c r="GGT224" s="862"/>
      <c r="GGU224" s="862"/>
      <c r="GGV224" s="862"/>
      <c r="GGW224" s="862"/>
      <c r="GGX224" s="863"/>
      <c r="GGY224" s="861"/>
      <c r="GGZ224" s="862"/>
      <c r="GHA224" s="862"/>
      <c r="GHB224" s="862"/>
      <c r="GHC224" s="862"/>
      <c r="GHD224" s="863"/>
      <c r="GHE224" s="861"/>
      <c r="GHF224" s="862"/>
      <c r="GHG224" s="862"/>
      <c r="GHH224" s="862"/>
      <c r="GHI224" s="862"/>
      <c r="GHJ224" s="863"/>
      <c r="GHK224" s="861"/>
      <c r="GHL224" s="862"/>
      <c r="GHM224" s="862"/>
      <c r="GHN224" s="862"/>
      <c r="GHO224" s="862"/>
      <c r="GHP224" s="863"/>
      <c r="GHQ224" s="861"/>
      <c r="GHR224" s="862"/>
      <c r="GHS224" s="862"/>
      <c r="GHT224" s="862"/>
      <c r="GHU224" s="862"/>
      <c r="GHV224" s="863"/>
      <c r="GHW224" s="861"/>
      <c r="GHX224" s="862"/>
      <c r="GHY224" s="862"/>
      <c r="GHZ224" s="862"/>
      <c r="GIA224" s="862"/>
      <c r="GIB224" s="863"/>
      <c r="GIC224" s="861"/>
      <c r="GID224" s="862"/>
      <c r="GIE224" s="862"/>
      <c r="GIF224" s="862"/>
      <c r="GIG224" s="862"/>
      <c r="GIH224" s="863"/>
      <c r="GII224" s="861"/>
      <c r="GIJ224" s="862"/>
      <c r="GIK224" s="862"/>
      <c r="GIL224" s="862"/>
      <c r="GIM224" s="862"/>
      <c r="GIN224" s="863"/>
      <c r="GIO224" s="861"/>
      <c r="GIP224" s="862"/>
      <c r="GIQ224" s="862"/>
      <c r="GIR224" s="862"/>
      <c r="GIS224" s="862"/>
      <c r="GIT224" s="863"/>
      <c r="GIU224" s="861"/>
      <c r="GIV224" s="862"/>
      <c r="GIW224" s="862"/>
      <c r="GIX224" s="862"/>
      <c r="GIY224" s="862"/>
      <c r="GIZ224" s="863"/>
      <c r="GJA224" s="861"/>
      <c r="GJB224" s="862"/>
      <c r="GJC224" s="862"/>
      <c r="GJD224" s="862"/>
      <c r="GJE224" s="862"/>
      <c r="GJF224" s="863"/>
      <c r="GJG224" s="861"/>
      <c r="GJH224" s="862"/>
      <c r="GJI224" s="862"/>
      <c r="GJJ224" s="862"/>
      <c r="GJK224" s="862"/>
      <c r="GJL224" s="863"/>
      <c r="GJM224" s="861"/>
      <c r="GJN224" s="862"/>
      <c r="GJO224" s="862"/>
      <c r="GJP224" s="862"/>
      <c r="GJQ224" s="862"/>
      <c r="GJR224" s="863"/>
      <c r="GJS224" s="861"/>
      <c r="GJT224" s="862"/>
      <c r="GJU224" s="862"/>
      <c r="GJV224" s="862"/>
      <c r="GJW224" s="862"/>
      <c r="GJX224" s="863"/>
      <c r="GJY224" s="861"/>
      <c r="GJZ224" s="862"/>
      <c r="GKA224" s="862"/>
      <c r="GKB224" s="862"/>
      <c r="GKC224" s="862"/>
      <c r="GKD224" s="863"/>
      <c r="GKE224" s="861"/>
      <c r="GKF224" s="862"/>
      <c r="GKG224" s="862"/>
      <c r="GKH224" s="862"/>
      <c r="GKI224" s="862"/>
      <c r="GKJ224" s="863"/>
      <c r="GKK224" s="861"/>
      <c r="GKL224" s="862"/>
      <c r="GKM224" s="862"/>
      <c r="GKN224" s="862"/>
      <c r="GKO224" s="862"/>
      <c r="GKP224" s="863"/>
      <c r="GKQ224" s="861"/>
      <c r="GKR224" s="862"/>
      <c r="GKS224" s="862"/>
      <c r="GKT224" s="862"/>
      <c r="GKU224" s="862"/>
      <c r="GKV224" s="863"/>
      <c r="GKW224" s="861"/>
      <c r="GKX224" s="862"/>
      <c r="GKY224" s="862"/>
      <c r="GKZ224" s="862"/>
      <c r="GLA224" s="862"/>
      <c r="GLB224" s="863"/>
      <c r="GLC224" s="861"/>
      <c r="GLD224" s="862"/>
      <c r="GLE224" s="862"/>
      <c r="GLF224" s="862"/>
      <c r="GLG224" s="862"/>
      <c r="GLH224" s="863"/>
      <c r="GLI224" s="861"/>
      <c r="GLJ224" s="862"/>
      <c r="GLK224" s="862"/>
      <c r="GLL224" s="862"/>
      <c r="GLM224" s="862"/>
      <c r="GLN224" s="863"/>
      <c r="GLO224" s="861"/>
      <c r="GLP224" s="862"/>
      <c r="GLQ224" s="862"/>
      <c r="GLR224" s="862"/>
      <c r="GLS224" s="862"/>
      <c r="GLT224" s="863"/>
      <c r="GLU224" s="861"/>
      <c r="GLV224" s="862"/>
      <c r="GLW224" s="862"/>
      <c r="GLX224" s="862"/>
      <c r="GLY224" s="862"/>
      <c r="GLZ224" s="863"/>
      <c r="GMA224" s="861"/>
      <c r="GMB224" s="862"/>
      <c r="GMC224" s="862"/>
      <c r="GMD224" s="862"/>
      <c r="GME224" s="862"/>
      <c r="GMF224" s="863"/>
      <c r="GMG224" s="861"/>
      <c r="GMH224" s="862"/>
      <c r="GMI224" s="862"/>
      <c r="GMJ224" s="862"/>
      <c r="GMK224" s="862"/>
      <c r="GML224" s="863"/>
      <c r="GMM224" s="861"/>
      <c r="GMN224" s="862"/>
      <c r="GMO224" s="862"/>
      <c r="GMP224" s="862"/>
      <c r="GMQ224" s="862"/>
      <c r="GMR224" s="863"/>
      <c r="GMS224" s="861"/>
      <c r="GMT224" s="862"/>
      <c r="GMU224" s="862"/>
      <c r="GMV224" s="862"/>
      <c r="GMW224" s="862"/>
      <c r="GMX224" s="863"/>
      <c r="GMY224" s="861"/>
      <c r="GMZ224" s="862"/>
      <c r="GNA224" s="862"/>
      <c r="GNB224" s="862"/>
      <c r="GNC224" s="862"/>
      <c r="GND224" s="863"/>
      <c r="GNE224" s="861"/>
      <c r="GNF224" s="862"/>
      <c r="GNG224" s="862"/>
      <c r="GNH224" s="862"/>
      <c r="GNI224" s="862"/>
      <c r="GNJ224" s="863"/>
      <c r="GNK224" s="861"/>
      <c r="GNL224" s="862"/>
      <c r="GNM224" s="862"/>
      <c r="GNN224" s="862"/>
      <c r="GNO224" s="862"/>
      <c r="GNP224" s="863"/>
      <c r="GNQ224" s="861"/>
      <c r="GNR224" s="862"/>
      <c r="GNS224" s="862"/>
      <c r="GNT224" s="862"/>
      <c r="GNU224" s="862"/>
      <c r="GNV224" s="863"/>
      <c r="GNW224" s="861"/>
      <c r="GNX224" s="862"/>
      <c r="GNY224" s="862"/>
      <c r="GNZ224" s="862"/>
      <c r="GOA224" s="862"/>
      <c r="GOB224" s="863"/>
      <c r="GOC224" s="861"/>
      <c r="GOD224" s="862"/>
      <c r="GOE224" s="862"/>
      <c r="GOF224" s="862"/>
      <c r="GOG224" s="862"/>
      <c r="GOH224" s="863"/>
      <c r="GOI224" s="861"/>
      <c r="GOJ224" s="862"/>
      <c r="GOK224" s="862"/>
      <c r="GOL224" s="862"/>
      <c r="GOM224" s="862"/>
      <c r="GON224" s="863"/>
      <c r="GOO224" s="861"/>
      <c r="GOP224" s="862"/>
      <c r="GOQ224" s="862"/>
      <c r="GOR224" s="862"/>
      <c r="GOS224" s="862"/>
      <c r="GOT224" s="863"/>
      <c r="GOU224" s="861"/>
      <c r="GOV224" s="862"/>
      <c r="GOW224" s="862"/>
      <c r="GOX224" s="862"/>
      <c r="GOY224" s="862"/>
      <c r="GOZ224" s="863"/>
      <c r="GPA224" s="861"/>
      <c r="GPB224" s="862"/>
      <c r="GPC224" s="862"/>
      <c r="GPD224" s="862"/>
      <c r="GPE224" s="862"/>
      <c r="GPF224" s="863"/>
      <c r="GPG224" s="861"/>
      <c r="GPH224" s="862"/>
      <c r="GPI224" s="862"/>
      <c r="GPJ224" s="862"/>
      <c r="GPK224" s="862"/>
      <c r="GPL224" s="863"/>
      <c r="GPM224" s="861"/>
      <c r="GPN224" s="862"/>
      <c r="GPO224" s="862"/>
      <c r="GPP224" s="862"/>
      <c r="GPQ224" s="862"/>
      <c r="GPR224" s="863"/>
      <c r="GPS224" s="861"/>
      <c r="GPT224" s="862"/>
      <c r="GPU224" s="862"/>
      <c r="GPV224" s="862"/>
      <c r="GPW224" s="862"/>
      <c r="GPX224" s="863"/>
      <c r="GPY224" s="861"/>
      <c r="GPZ224" s="862"/>
      <c r="GQA224" s="862"/>
      <c r="GQB224" s="862"/>
      <c r="GQC224" s="862"/>
      <c r="GQD224" s="863"/>
      <c r="GQE224" s="861"/>
      <c r="GQF224" s="862"/>
      <c r="GQG224" s="862"/>
      <c r="GQH224" s="862"/>
      <c r="GQI224" s="862"/>
      <c r="GQJ224" s="863"/>
      <c r="GQK224" s="861"/>
      <c r="GQL224" s="862"/>
      <c r="GQM224" s="862"/>
      <c r="GQN224" s="862"/>
      <c r="GQO224" s="862"/>
      <c r="GQP224" s="863"/>
      <c r="GQQ224" s="861"/>
      <c r="GQR224" s="862"/>
      <c r="GQS224" s="862"/>
      <c r="GQT224" s="862"/>
      <c r="GQU224" s="862"/>
      <c r="GQV224" s="863"/>
      <c r="GQW224" s="861"/>
      <c r="GQX224" s="862"/>
      <c r="GQY224" s="862"/>
      <c r="GQZ224" s="862"/>
      <c r="GRA224" s="862"/>
      <c r="GRB224" s="863"/>
      <c r="GRC224" s="861"/>
      <c r="GRD224" s="862"/>
      <c r="GRE224" s="862"/>
      <c r="GRF224" s="862"/>
      <c r="GRG224" s="862"/>
      <c r="GRH224" s="863"/>
      <c r="GRI224" s="861"/>
      <c r="GRJ224" s="862"/>
      <c r="GRK224" s="862"/>
      <c r="GRL224" s="862"/>
      <c r="GRM224" s="862"/>
      <c r="GRN224" s="863"/>
      <c r="GRO224" s="861"/>
      <c r="GRP224" s="862"/>
      <c r="GRQ224" s="862"/>
      <c r="GRR224" s="862"/>
      <c r="GRS224" s="862"/>
      <c r="GRT224" s="863"/>
      <c r="GRU224" s="861"/>
      <c r="GRV224" s="862"/>
      <c r="GRW224" s="862"/>
      <c r="GRX224" s="862"/>
      <c r="GRY224" s="862"/>
      <c r="GRZ224" s="863"/>
      <c r="GSA224" s="861"/>
      <c r="GSB224" s="862"/>
      <c r="GSC224" s="862"/>
      <c r="GSD224" s="862"/>
      <c r="GSE224" s="862"/>
      <c r="GSF224" s="863"/>
      <c r="GSG224" s="861"/>
      <c r="GSH224" s="862"/>
      <c r="GSI224" s="862"/>
      <c r="GSJ224" s="862"/>
      <c r="GSK224" s="862"/>
      <c r="GSL224" s="863"/>
      <c r="GSM224" s="861"/>
      <c r="GSN224" s="862"/>
      <c r="GSO224" s="862"/>
      <c r="GSP224" s="862"/>
      <c r="GSQ224" s="862"/>
      <c r="GSR224" s="863"/>
      <c r="GSS224" s="861"/>
      <c r="GST224" s="862"/>
      <c r="GSU224" s="862"/>
      <c r="GSV224" s="862"/>
      <c r="GSW224" s="862"/>
      <c r="GSX224" s="863"/>
      <c r="GSY224" s="861"/>
      <c r="GSZ224" s="862"/>
      <c r="GTA224" s="862"/>
      <c r="GTB224" s="862"/>
      <c r="GTC224" s="862"/>
      <c r="GTD224" s="863"/>
      <c r="GTE224" s="861"/>
      <c r="GTF224" s="862"/>
      <c r="GTG224" s="862"/>
      <c r="GTH224" s="862"/>
      <c r="GTI224" s="862"/>
      <c r="GTJ224" s="863"/>
      <c r="GTK224" s="861"/>
      <c r="GTL224" s="862"/>
      <c r="GTM224" s="862"/>
      <c r="GTN224" s="862"/>
      <c r="GTO224" s="862"/>
      <c r="GTP224" s="863"/>
      <c r="GTQ224" s="861"/>
      <c r="GTR224" s="862"/>
      <c r="GTS224" s="862"/>
      <c r="GTT224" s="862"/>
      <c r="GTU224" s="862"/>
      <c r="GTV224" s="863"/>
      <c r="GTW224" s="861"/>
      <c r="GTX224" s="862"/>
      <c r="GTY224" s="862"/>
      <c r="GTZ224" s="862"/>
      <c r="GUA224" s="862"/>
      <c r="GUB224" s="863"/>
      <c r="GUC224" s="861"/>
      <c r="GUD224" s="862"/>
      <c r="GUE224" s="862"/>
      <c r="GUF224" s="862"/>
      <c r="GUG224" s="862"/>
      <c r="GUH224" s="863"/>
      <c r="GUI224" s="861"/>
      <c r="GUJ224" s="862"/>
      <c r="GUK224" s="862"/>
      <c r="GUL224" s="862"/>
      <c r="GUM224" s="862"/>
      <c r="GUN224" s="863"/>
      <c r="GUO224" s="861"/>
      <c r="GUP224" s="862"/>
      <c r="GUQ224" s="862"/>
      <c r="GUR224" s="862"/>
      <c r="GUS224" s="862"/>
      <c r="GUT224" s="863"/>
      <c r="GUU224" s="861"/>
      <c r="GUV224" s="862"/>
      <c r="GUW224" s="862"/>
      <c r="GUX224" s="862"/>
      <c r="GUY224" s="862"/>
      <c r="GUZ224" s="863"/>
      <c r="GVA224" s="861"/>
      <c r="GVB224" s="862"/>
      <c r="GVC224" s="862"/>
      <c r="GVD224" s="862"/>
      <c r="GVE224" s="862"/>
      <c r="GVF224" s="863"/>
      <c r="GVG224" s="861"/>
      <c r="GVH224" s="862"/>
      <c r="GVI224" s="862"/>
      <c r="GVJ224" s="862"/>
      <c r="GVK224" s="862"/>
      <c r="GVL224" s="863"/>
      <c r="GVM224" s="861"/>
      <c r="GVN224" s="862"/>
      <c r="GVO224" s="862"/>
      <c r="GVP224" s="862"/>
      <c r="GVQ224" s="862"/>
      <c r="GVR224" s="863"/>
      <c r="GVS224" s="861"/>
      <c r="GVT224" s="862"/>
      <c r="GVU224" s="862"/>
      <c r="GVV224" s="862"/>
      <c r="GVW224" s="862"/>
      <c r="GVX224" s="863"/>
      <c r="GVY224" s="861"/>
      <c r="GVZ224" s="862"/>
      <c r="GWA224" s="862"/>
      <c r="GWB224" s="862"/>
      <c r="GWC224" s="862"/>
      <c r="GWD224" s="863"/>
      <c r="GWE224" s="861"/>
      <c r="GWF224" s="862"/>
      <c r="GWG224" s="862"/>
      <c r="GWH224" s="862"/>
      <c r="GWI224" s="862"/>
      <c r="GWJ224" s="863"/>
      <c r="GWK224" s="861"/>
      <c r="GWL224" s="862"/>
      <c r="GWM224" s="862"/>
      <c r="GWN224" s="862"/>
      <c r="GWO224" s="862"/>
      <c r="GWP224" s="863"/>
      <c r="GWQ224" s="861"/>
      <c r="GWR224" s="862"/>
      <c r="GWS224" s="862"/>
      <c r="GWT224" s="862"/>
      <c r="GWU224" s="862"/>
      <c r="GWV224" s="863"/>
      <c r="GWW224" s="861"/>
      <c r="GWX224" s="862"/>
      <c r="GWY224" s="862"/>
      <c r="GWZ224" s="862"/>
      <c r="GXA224" s="862"/>
      <c r="GXB224" s="863"/>
      <c r="GXC224" s="861"/>
      <c r="GXD224" s="862"/>
      <c r="GXE224" s="862"/>
      <c r="GXF224" s="862"/>
      <c r="GXG224" s="862"/>
      <c r="GXH224" s="863"/>
      <c r="GXI224" s="861"/>
      <c r="GXJ224" s="862"/>
      <c r="GXK224" s="862"/>
      <c r="GXL224" s="862"/>
      <c r="GXM224" s="862"/>
      <c r="GXN224" s="863"/>
      <c r="GXO224" s="861"/>
      <c r="GXP224" s="862"/>
      <c r="GXQ224" s="862"/>
      <c r="GXR224" s="862"/>
      <c r="GXS224" s="862"/>
      <c r="GXT224" s="863"/>
      <c r="GXU224" s="861"/>
      <c r="GXV224" s="862"/>
      <c r="GXW224" s="862"/>
      <c r="GXX224" s="862"/>
      <c r="GXY224" s="862"/>
      <c r="GXZ224" s="863"/>
      <c r="GYA224" s="861"/>
      <c r="GYB224" s="862"/>
      <c r="GYC224" s="862"/>
      <c r="GYD224" s="862"/>
      <c r="GYE224" s="862"/>
      <c r="GYF224" s="863"/>
      <c r="GYG224" s="861"/>
      <c r="GYH224" s="862"/>
      <c r="GYI224" s="862"/>
      <c r="GYJ224" s="862"/>
      <c r="GYK224" s="862"/>
      <c r="GYL224" s="863"/>
      <c r="GYM224" s="861"/>
      <c r="GYN224" s="862"/>
      <c r="GYO224" s="862"/>
      <c r="GYP224" s="862"/>
      <c r="GYQ224" s="862"/>
      <c r="GYR224" s="863"/>
      <c r="GYS224" s="861"/>
      <c r="GYT224" s="862"/>
      <c r="GYU224" s="862"/>
      <c r="GYV224" s="862"/>
      <c r="GYW224" s="862"/>
      <c r="GYX224" s="863"/>
      <c r="GYY224" s="861"/>
      <c r="GYZ224" s="862"/>
      <c r="GZA224" s="862"/>
      <c r="GZB224" s="862"/>
      <c r="GZC224" s="862"/>
      <c r="GZD224" s="863"/>
      <c r="GZE224" s="861"/>
      <c r="GZF224" s="862"/>
      <c r="GZG224" s="862"/>
      <c r="GZH224" s="862"/>
      <c r="GZI224" s="862"/>
      <c r="GZJ224" s="863"/>
      <c r="GZK224" s="861"/>
      <c r="GZL224" s="862"/>
      <c r="GZM224" s="862"/>
      <c r="GZN224" s="862"/>
      <c r="GZO224" s="862"/>
      <c r="GZP224" s="863"/>
      <c r="GZQ224" s="861"/>
      <c r="GZR224" s="862"/>
      <c r="GZS224" s="862"/>
      <c r="GZT224" s="862"/>
      <c r="GZU224" s="862"/>
      <c r="GZV224" s="863"/>
      <c r="GZW224" s="861"/>
      <c r="GZX224" s="862"/>
      <c r="GZY224" s="862"/>
      <c r="GZZ224" s="862"/>
      <c r="HAA224" s="862"/>
      <c r="HAB224" s="863"/>
      <c r="HAC224" s="861"/>
      <c r="HAD224" s="862"/>
      <c r="HAE224" s="862"/>
      <c r="HAF224" s="862"/>
      <c r="HAG224" s="862"/>
      <c r="HAH224" s="863"/>
      <c r="HAI224" s="861"/>
      <c r="HAJ224" s="862"/>
      <c r="HAK224" s="862"/>
      <c r="HAL224" s="862"/>
      <c r="HAM224" s="862"/>
      <c r="HAN224" s="863"/>
      <c r="HAO224" s="861"/>
      <c r="HAP224" s="862"/>
      <c r="HAQ224" s="862"/>
      <c r="HAR224" s="862"/>
      <c r="HAS224" s="862"/>
      <c r="HAT224" s="863"/>
      <c r="HAU224" s="861"/>
      <c r="HAV224" s="862"/>
      <c r="HAW224" s="862"/>
      <c r="HAX224" s="862"/>
      <c r="HAY224" s="862"/>
      <c r="HAZ224" s="863"/>
      <c r="HBA224" s="861"/>
      <c r="HBB224" s="862"/>
      <c r="HBC224" s="862"/>
      <c r="HBD224" s="862"/>
      <c r="HBE224" s="862"/>
      <c r="HBF224" s="863"/>
      <c r="HBG224" s="861"/>
      <c r="HBH224" s="862"/>
      <c r="HBI224" s="862"/>
      <c r="HBJ224" s="862"/>
      <c r="HBK224" s="862"/>
      <c r="HBL224" s="863"/>
      <c r="HBM224" s="861"/>
      <c r="HBN224" s="862"/>
      <c r="HBO224" s="862"/>
      <c r="HBP224" s="862"/>
      <c r="HBQ224" s="862"/>
      <c r="HBR224" s="863"/>
      <c r="HBS224" s="861"/>
      <c r="HBT224" s="862"/>
      <c r="HBU224" s="862"/>
      <c r="HBV224" s="862"/>
      <c r="HBW224" s="862"/>
      <c r="HBX224" s="863"/>
      <c r="HBY224" s="861"/>
      <c r="HBZ224" s="862"/>
      <c r="HCA224" s="862"/>
      <c r="HCB224" s="862"/>
      <c r="HCC224" s="862"/>
      <c r="HCD224" s="863"/>
      <c r="HCE224" s="861"/>
      <c r="HCF224" s="862"/>
      <c r="HCG224" s="862"/>
      <c r="HCH224" s="862"/>
      <c r="HCI224" s="862"/>
      <c r="HCJ224" s="863"/>
      <c r="HCK224" s="861"/>
      <c r="HCL224" s="862"/>
      <c r="HCM224" s="862"/>
      <c r="HCN224" s="862"/>
      <c r="HCO224" s="862"/>
      <c r="HCP224" s="863"/>
      <c r="HCQ224" s="861"/>
      <c r="HCR224" s="862"/>
      <c r="HCS224" s="862"/>
      <c r="HCT224" s="862"/>
      <c r="HCU224" s="862"/>
      <c r="HCV224" s="863"/>
      <c r="HCW224" s="861"/>
      <c r="HCX224" s="862"/>
      <c r="HCY224" s="862"/>
      <c r="HCZ224" s="862"/>
      <c r="HDA224" s="862"/>
      <c r="HDB224" s="863"/>
      <c r="HDC224" s="861"/>
      <c r="HDD224" s="862"/>
      <c r="HDE224" s="862"/>
      <c r="HDF224" s="862"/>
      <c r="HDG224" s="862"/>
      <c r="HDH224" s="863"/>
      <c r="HDI224" s="861"/>
      <c r="HDJ224" s="862"/>
      <c r="HDK224" s="862"/>
      <c r="HDL224" s="862"/>
      <c r="HDM224" s="862"/>
      <c r="HDN224" s="863"/>
      <c r="HDO224" s="861"/>
      <c r="HDP224" s="862"/>
      <c r="HDQ224" s="862"/>
      <c r="HDR224" s="862"/>
      <c r="HDS224" s="862"/>
      <c r="HDT224" s="863"/>
      <c r="HDU224" s="861"/>
      <c r="HDV224" s="862"/>
      <c r="HDW224" s="862"/>
      <c r="HDX224" s="862"/>
      <c r="HDY224" s="862"/>
      <c r="HDZ224" s="863"/>
      <c r="HEA224" s="861"/>
      <c r="HEB224" s="862"/>
      <c r="HEC224" s="862"/>
      <c r="HED224" s="862"/>
      <c r="HEE224" s="862"/>
      <c r="HEF224" s="863"/>
      <c r="HEG224" s="861"/>
      <c r="HEH224" s="862"/>
      <c r="HEI224" s="862"/>
      <c r="HEJ224" s="862"/>
      <c r="HEK224" s="862"/>
      <c r="HEL224" s="863"/>
      <c r="HEM224" s="861"/>
      <c r="HEN224" s="862"/>
      <c r="HEO224" s="862"/>
      <c r="HEP224" s="862"/>
      <c r="HEQ224" s="862"/>
      <c r="HER224" s="863"/>
      <c r="HES224" s="861"/>
      <c r="HET224" s="862"/>
      <c r="HEU224" s="862"/>
      <c r="HEV224" s="862"/>
      <c r="HEW224" s="862"/>
      <c r="HEX224" s="863"/>
      <c r="HEY224" s="861"/>
      <c r="HEZ224" s="862"/>
      <c r="HFA224" s="862"/>
      <c r="HFB224" s="862"/>
      <c r="HFC224" s="862"/>
      <c r="HFD224" s="863"/>
      <c r="HFE224" s="861"/>
      <c r="HFF224" s="862"/>
      <c r="HFG224" s="862"/>
      <c r="HFH224" s="862"/>
      <c r="HFI224" s="862"/>
      <c r="HFJ224" s="863"/>
      <c r="HFK224" s="861"/>
      <c r="HFL224" s="862"/>
      <c r="HFM224" s="862"/>
      <c r="HFN224" s="862"/>
      <c r="HFO224" s="862"/>
      <c r="HFP224" s="863"/>
      <c r="HFQ224" s="861"/>
      <c r="HFR224" s="862"/>
      <c r="HFS224" s="862"/>
      <c r="HFT224" s="862"/>
      <c r="HFU224" s="862"/>
      <c r="HFV224" s="863"/>
      <c r="HFW224" s="861"/>
      <c r="HFX224" s="862"/>
      <c r="HFY224" s="862"/>
      <c r="HFZ224" s="862"/>
      <c r="HGA224" s="862"/>
      <c r="HGB224" s="863"/>
      <c r="HGC224" s="861"/>
      <c r="HGD224" s="862"/>
      <c r="HGE224" s="862"/>
      <c r="HGF224" s="862"/>
      <c r="HGG224" s="862"/>
      <c r="HGH224" s="863"/>
      <c r="HGI224" s="861"/>
      <c r="HGJ224" s="862"/>
      <c r="HGK224" s="862"/>
      <c r="HGL224" s="862"/>
      <c r="HGM224" s="862"/>
      <c r="HGN224" s="863"/>
      <c r="HGO224" s="861"/>
      <c r="HGP224" s="862"/>
      <c r="HGQ224" s="862"/>
      <c r="HGR224" s="862"/>
      <c r="HGS224" s="862"/>
      <c r="HGT224" s="863"/>
      <c r="HGU224" s="861"/>
      <c r="HGV224" s="862"/>
      <c r="HGW224" s="862"/>
      <c r="HGX224" s="862"/>
      <c r="HGY224" s="862"/>
      <c r="HGZ224" s="863"/>
      <c r="HHA224" s="861"/>
      <c r="HHB224" s="862"/>
      <c r="HHC224" s="862"/>
      <c r="HHD224" s="862"/>
      <c r="HHE224" s="862"/>
      <c r="HHF224" s="863"/>
      <c r="HHG224" s="861"/>
      <c r="HHH224" s="862"/>
      <c r="HHI224" s="862"/>
      <c r="HHJ224" s="862"/>
      <c r="HHK224" s="862"/>
      <c r="HHL224" s="863"/>
      <c r="HHM224" s="861"/>
      <c r="HHN224" s="862"/>
      <c r="HHO224" s="862"/>
      <c r="HHP224" s="862"/>
      <c r="HHQ224" s="862"/>
      <c r="HHR224" s="863"/>
      <c r="HHS224" s="861"/>
      <c r="HHT224" s="862"/>
      <c r="HHU224" s="862"/>
      <c r="HHV224" s="862"/>
      <c r="HHW224" s="862"/>
      <c r="HHX224" s="863"/>
      <c r="HHY224" s="861"/>
      <c r="HHZ224" s="862"/>
      <c r="HIA224" s="862"/>
      <c r="HIB224" s="862"/>
      <c r="HIC224" s="862"/>
      <c r="HID224" s="863"/>
      <c r="HIE224" s="861"/>
      <c r="HIF224" s="862"/>
      <c r="HIG224" s="862"/>
      <c r="HIH224" s="862"/>
      <c r="HII224" s="862"/>
      <c r="HIJ224" s="863"/>
      <c r="HIK224" s="861"/>
      <c r="HIL224" s="862"/>
      <c r="HIM224" s="862"/>
      <c r="HIN224" s="862"/>
      <c r="HIO224" s="862"/>
      <c r="HIP224" s="863"/>
      <c r="HIQ224" s="861"/>
      <c r="HIR224" s="862"/>
      <c r="HIS224" s="862"/>
      <c r="HIT224" s="862"/>
      <c r="HIU224" s="862"/>
      <c r="HIV224" s="863"/>
      <c r="HIW224" s="861"/>
      <c r="HIX224" s="862"/>
      <c r="HIY224" s="862"/>
      <c r="HIZ224" s="862"/>
      <c r="HJA224" s="862"/>
      <c r="HJB224" s="863"/>
      <c r="HJC224" s="861"/>
      <c r="HJD224" s="862"/>
      <c r="HJE224" s="862"/>
      <c r="HJF224" s="862"/>
      <c r="HJG224" s="862"/>
      <c r="HJH224" s="863"/>
      <c r="HJI224" s="861"/>
      <c r="HJJ224" s="862"/>
      <c r="HJK224" s="862"/>
      <c r="HJL224" s="862"/>
      <c r="HJM224" s="862"/>
      <c r="HJN224" s="863"/>
      <c r="HJO224" s="861"/>
      <c r="HJP224" s="862"/>
      <c r="HJQ224" s="862"/>
      <c r="HJR224" s="862"/>
      <c r="HJS224" s="862"/>
      <c r="HJT224" s="863"/>
      <c r="HJU224" s="861"/>
      <c r="HJV224" s="862"/>
      <c r="HJW224" s="862"/>
      <c r="HJX224" s="862"/>
      <c r="HJY224" s="862"/>
      <c r="HJZ224" s="863"/>
      <c r="HKA224" s="861"/>
      <c r="HKB224" s="862"/>
      <c r="HKC224" s="862"/>
      <c r="HKD224" s="862"/>
      <c r="HKE224" s="862"/>
      <c r="HKF224" s="863"/>
      <c r="HKG224" s="861"/>
      <c r="HKH224" s="862"/>
      <c r="HKI224" s="862"/>
      <c r="HKJ224" s="862"/>
      <c r="HKK224" s="862"/>
      <c r="HKL224" s="863"/>
      <c r="HKM224" s="861"/>
      <c r="HKN224" s="862"/>
      <c r="HKO224" s="862"/>
      <c r="HKP224" s="862"/>
      <c r="HKQ224" s="862"/>
      <c r="HKR224" s="863"/>
      <c r="HKS224" s="861"/>
      <c r="HKT224" s="862"/>
      <c r="HKU224" s="862"/>
      <c r="HKV224" s="862"/>
      <c r="HKW224" s="862"/>
      <c r="HKX224" s="863"/>
      <c r="HKY224" s="861"/>
      <c r="HKZ224" s="862"/>
      <c r="HLA224" s="862"/>
      <c r="HLB224" s="862"/>
      <c r="HLC224" s="862"/>
      <c r="HLD224" s="863"/>
      <c r="HLE224" s="861"/>
      <c r="HLF224" s="862"/>
      <c r="HLG224" s="862"/>
      <c r="HLH224" s="862"/>
      <c r="HLI224" s="862"/>
      <c r="HLJ224" s="863"/>
      <c r="HLK224" s="861"/>
      <c r="HLL224" s="862"/>
      <c r="HLM224" s="862"/>
      <c r="HLN224" s="862"/>
      <c r="HLO224" s="862"/>
      <c r="HLP224" s="863"/>
      <c r="HLQ224" s="861"/>
      <c r="HLR224" s="862"/>
      <c r="HLS224" s="862"/>
      <c r="HLT224" s="862"/>
      <c r="HLU224" s="862"/>
      <c r="HLV224" s="863"/>
      <c r="HLW224" s="861"/>
      <c r="HLX224" s="862"/>
      <c r="HLY224" s="862"/>
      <c r="HLZ224" s="862"/>
      <c r="HMA224" s="862"/>
      <c r="HMB224" s="863"/>
      <c r="HMC224" s="861"/>
      <c r="HMD224" s="862"/>
      <c r="HME224" s="862"/>
      <c r="HMF224" s="862"/>
      <c r="HMG224" s="862"/>
      <c r="HMH224" s="863"/>
      <c r="HMI224" s="861"/>
      <c r="HMJ224" s="862"/>
      <c r="HMK224" s="862"/>
      <c r="HML224" s="862"/>
      <c r="HMM224" s="862"/>
      <c r="HMN224" s="863"/>
      <c r="HMO224" s="861"/>
      <c r="HMP224" s="862"/>
      <c r="HMQ224" s="862"/>
      <c r="HMR224" s="862"/>
      <c r="HMS224" s="862"/>
      <c r="HMT224" s="863"/>
      <c r="HMU224" s="861"/>
      <c r="HMV224" s="862"/>
      <c r="HMW224" s="862"/>
      <c r="HMX224" s="862"/>
      <c r="HMY224" s="862"/>
      <c r="HMZ224" s="863"/>
      <c r="HNA224" s="861"/>
      <c r="HNB224" s="862"/>
      <c r="HNC224" s="862"/>
      <c r="HND224" s="862"/>
      <c r="HNE224" s="862"/>
      <c r="HNF224" s="863"/>
      <c r="HNG224" s="861"/>
      <c r="HNH224" s="862"/>
      <c r="HNI224" s="862"/>
      <c r="HNJ224" s="862"/>
      <c r="HNK224" s="862"/>
      <c r="HNL224" s="863"/>
      <c r="HNM224" s="861"/>
      <c r="HNN224" s="862"/>
      <c r="HNO224" s="862"/>
      <c r="HNP224" s="862"/>
      <c r="HNQ224" s="862"/>
      <c r="HNR224" s="863"/>
      <c r="HNS224" s="861"/>
      <c r="HNT224" s="862"/>
      <c r="HNU224" s="862"/>
      <c r="HNV224" s="862"/>
      <c r="HNW224" s="862"/>
      <c r="HNX224" s="863"/>
      <c r="HNY224" s="861"/>
      <c r="HNZ224" s="862"/>
      <c r="HOA224" s="862"/>
      <c r="HOB224" s="862"/>
      <c r="HOC224" s="862"/>
      <c r="HOD224" s="863"/>
      <c r="HOE224" s="861"/>
      <c r="HOF224" s="862"/>
      <c r="HOG224" s="862"/>
      <c r="HOH224" s="862"/>
      <c r="HOI224" s="862"/>
      <c r="HOJ224" s="863"/>
      <c r="HOK224" s="861"/>
      <c r="HOL224" s="862"/>
      <c r="HOM224" s="862"/>
      <c r="HON224" s="862"/>
      <c r="HOO224" s="862"/>
      <c r="HOP224" s="863"/>
      <c r="HOQ224" s="861"/>
      <c r="HOR224" s="862"/>
      <c r="HOS224" s="862"/>
      <c r="HOT224" s="862"/>
      <c r="HOU224" s="862"/>
      <c r="HOV224" s="863"/>
      <c r="HOW224" s="861"/>
      <c r="HOX224" s="862"/>
      <c r="HOY224" s="862"/>
      <c r="HOZ224" s="862"/>
      <c r="HPA224" s="862"/>
      <c r="HPB224" s="863"/>
      <c r="HPC224" s="861"/>
      <c r="HPD224" s="862"/>
      <c r="HPE224" s="862"/>
      <c r="HPF224" s="862"/>
      <c r="HPG224" s="862"/>
      <c r="HPH224" s="863"/>
      <c r="HPI224" s="861"/>
      <c r="HPJ224" s="862"/>
      <c r="HPK224" s="862"/>
      <c r="HPL224" s="862"/>
      <c r="HPM224" s="862"/>
      <c r="HPN224" s="863"/>
      <c r="HPO224" s="861"/>
      <c r="HPP224" s="862"/>
      <c r="HPQ224" s="862"/>
      <c r="HPR224" s="862"/>
      <c r="HPS224" s="862"/>
      <c r="HPT224" s="863"/>
      <c r="HPU224" s="861"/>
      <c r="HPV224" s="862"/>
      <c r="HPW224" s="862"/>
      <c r="HPX224" s="862"/>
      <c r="HPY224" s="862"/>
      <c r="HPZ224" s="863"/>
      <c r="HQA224" s="861"/>
      <c r="HQB224" s="862"/>
      <c r="HQC224" s="862"/>
      <c r="HQD224" s="862"/>
      <c r="HQE224" s="862"/>
      <c r="HQF224" s="863"/>
      <c r="HQG224" s="861"/>
      <c r="HQH224" s="862"/>
      <c r="HQI224" s="862"/>
      <c r="HQJ224" s="862"/>
      <c r="HQK224" s="862"/>
      <c r="HQL224" s="863"/>
      <c r="HQM224" s="861"/>
      <c r="HQN224" s="862"/>
      <c r="HQO224" s="862"/>
      <c r="HQP224" s="862"/>
      <c r="HQQ224" s="862"/>
      <c r="HQR224" s="863"/>
      <c r="HQS224" s="861"/>
      <c r="HQT224" s="862"/>
      <c r="HQU224" s="862"/>
      <c r="HQV224" s="862"/>
      <c r="HQW224" s="862"/>
      <c r="HQX224" s="863"/>
      <c r="HQY224" s="861"/>
      <c r="HQZ224" s="862"/>
      <c r="HRA224" s="862"/>
      <c r="HRB224" s="862"/>
      <c r="HRC224" s="862"/>
      <c r="HRD224" s="863"/>
      <c r="HRE224" s="861"/>
      <c r="HRF224" s="862"/>
      <c r="HRG224" s="862"/>
      <c r="HRH224" s="862"/>
      <c r="HRI224" s="862"/>
      <c r="HRJ224" s="863"/>
      <c r="HRK224" s="861"/>
      <c r="HRL224" s="862"/>
      <c r="HRM224" s="862"/>
      <c r="HRN224" s="862"/>
      <c r="HRO224" s="862"/>
      <c r="HRP224" s="863"/>
      <c r="HRQ224" s="861"/>
      <c r="HRR224" s="862"/>
      <c r="HRS224" s="862"/>
      <c r="HRT224" s="862"/>
      <c r="HRU224" s="862"/>
      <c r="HRV224" s="863"/>
      <c r="HRW224" s="861"/>
      <c r="HRX224" s="862"/>
      <c r="HRY224" s="862"/>
      <c r="HRZ224" s="862"/>
      <c r="HSA224" s="862"/>
      <c r="HSB224" s="863"/>
      <c r="HSC224" s="861"/>
      <c r="HSD224" s="862"/>
      <c r="HSE224" s="862"/>
      <c r="HSF224" s="862"/>
      <c r="HSG224" s="862"/>
      <c r="HSH224" s="863"/>
      <c r="HSI224" s="861"/>
      <c r="HSJ224" s="862"/>
      <c r="HSK224" s="862"/>
      <c r="HSL224" s="862"/>
      <c r="HSM224" s="862"/>
      <c r="HSN224" s="863"/>
      <c r="HSO224" s="861"/>
      <c r="HSP224" s="862"/>
      <c r="HSQ224" s="862"/>
      <c r="HSR224" s="862"/>
      <c r="HSS224" s="862"/>
      <c r="HST224" s="863"/>
      <c r="HSU224" s="861"/>
      <c r="HSV224" s="862"/>
      <c r="HSW224" s="862"/>
      <c r="HSX224" s="862"/>
      <c r="HSY224" s="862"/>
      <c r="HSZ224" s="863"/>
      <c r="HTA224" s="861"/>
      <c r="HTB224" s="862"/>
      <c r="HTC224" s="862"/>
      <c r="HTD224" s="862"/>
      <c r="HTE224" s="862"/>
      <c r="HTF224" s="863"/>
      <c r="HTG224" s="861"/>
      <c r="HTH224" s="862"/>
      <c r="HTI224" s="862"/>
      <c r="HTJ224" s="862"/>
      <c r="HTK224" s="862"/>
      <c r="HTL224" s="863"/>
      <c r="HTM224" s="861"/>
      <c r="HTN224" s="862"/>
      <c r="HTO224" s="862"/>
      <c r="HTP224" s="862"/>
      <c r="HTQ224" s="862"/>
      <c r="HTR224" s="863"/>
      <c r="HTS224" s="861"/>
      <c r="HTT224" s="862"/>
      <c r="HTU224" s="862"/>
      <c r="HTV224" s="862"/>
      <c r="HTW224" s="862"/>
      <c r="HTX224" s="863"/>
      <c r="HTY224" s="861"/>
      <c r="HTZ224" s="862"/>
      <c r="HUA224" s="862"/>
      <c r="HUB224" s="862"/>
      <c r="HUC224" s="862"/>
      <c r="HUD224" s="863"/>
      <c r="HUE224" s="861"/>
      <c r="HUF224" s="862"/>
      <c r="HUG224" s="862"/>
      <c r="HUH224" s="862"/>
      <c r="HUI224" s="862"/>
      <c r="HUJ224" s="863"/>
      <c r="HUK224" s="861"/>
      <c r="HUL224" s="862"/>
      <c r="HUM224" s="862"/>
      <c r="HUN224" s="862"/>
      <c r="HUO224" s="862"/>
      <c r="HUP224" s="863"/>
      <c r="HUQ224" s="861"/>
      <c r="HUR224" s="862"/>
      <c r="HUS224" s="862"/>
      <c r="HUT224" s="862"/>
      <c r="HUU224" s="862"/>
      <c r="HUV224" s="863"/>
      <c r="HUW224" s="861"/>
      <c r="HUX224" s="862"/>
      <c r="HUY224" s="862"/>
      <c r="HUZ224" s="862"/>
      <c r="HVA224" s="862"/>
      <c r="HVB224" s="863"/>
      <c r="HVC224" s="861"/>
      <c r="HVD224" s="862"/>
      <c r="HVE224" s="862"/>
      <c r="HVF224" s="862"/>
      <c r="HVG224" s="862"/>
      <c r="HVH224" s="863"/>
      <c r="HVI224" s="861"/>
      <c r="HVJ224" s="862"/>
      <c r="HVK224" s="862"/>
      <c r="HVL224" s="862"/>
      <c r="HVM224" s="862"/>
      <c r="HVN224" s="863"/>
      <c r="HVO224" s="861"/>
      <c r="HVP224" s="862"/>
      <c r="HVQ224" s="862"/>
      <c r="HVR224" s="862"/>
      <c r="HVS224" s="862"/>
      <c r="HVT224" s="863"/>
      <c r="HVU224" s="861"/>
      <c r="HVV224" s="862"/>
      <c r="HVW224" s="862"/>
      <c r="HVX224" s="862"/>
      <c r="HVY224" s="862"/>
      <c r="HVZ224" s="863"/>
      <c r="HWA224" s="861"/>
      <c r="HWB224" s="862"/>
      <c r="HWC224" s="862"/>
      <c r="HWD224" s="862"/>
      <c r="HWE224" s="862"/>
      <c r="HWF224" s="863"/>
      <c r="HWG224" s="861"/>
      <c r="HWH224" s="862"/>
      <c r="HWI224" s="862"/>
      <c r="HWJ224" s="862"/>
      <c r="HWK224" s="862"/>
      <c r="HWL224" s="863"/>
      <c r="HWM224" s="861"/>
      <c r="HWN224" s="862"/>
      <c r="HWO224" s="862"/>
      <c r="HWP224" s="862"/>
      <c r="HWQ224" s="862"/>
      <c r="HWR224" s="863"/>
      <c r="HWS224" s="861"/>
      <c r="HWT224" s="862"/>
      <c r="HWU224" s="862"/>
      <c r="HWV224" s="862"/>
      <c r="HWW224" s="862"/>
      <c r="HWX224" s="863"/>
      <c r="HWY224" s="861"/>
      <c r="HWZ224" s="862"/>
      <c r="HXA224" s="862"/>
      <c r="HXB224" s="862"/>
      <c r="HXC224" s="862"/>
      <c r="HXD224" s="863"/>
      <c r="HXE224" s="861"/>
      <c r="HXF224" s="862"/>
      <c r="HXG224" s="862"/>
      <c r="HXH224" s="862"/>
      <c r="HXI224" s="862"/>
      <c r="HXJ224" s="863"/>
      <c r="HXK224" s="861"/>
      <c r="HXL224" s="862"/>
      <c r="HXM224" s="862"/>
      <c r="HXN224" s="862"/>
      <c r="HXO224" s="862"/>
      <c r="HXP224" s="863"/>
      <c r="HXQ224" s="861"/>
      <c r="HXR224" s="862"/>
      <c r="HXS224" s="862"/>
      <c r="HXT224" s="862"/>
      <c r="HXU224" s="862"/>
      <c r="HXV224" s="863"/>
      <c r="HXW224" s="861"/>
      <c r="HXX224" s="862"/>
      <c r="HXY224" s="862"/>
      <c r="HXZ224" s="862"/>
      <c r="HYA224" s="862"/>
      <c r="HYB224" s="863"/>
      <c r="HYC224" s="861"/>
      <c r="HYD224" s="862"/>
      <c r="HYE224" s="862"/>
      <c r="HYF224" s="862"/>
      <c r="HYG224" s="862"/>
      <c r="HYH224" s="863"/>
      <c r="HYI224" s="861"/>
      <c r="HYJ224" s="862"/>
      <c r="HYK224" s="862"/>
      <c r="HYL224" s="862"/>
      <c r="HYM224" s="862"/>
      <c r="HYN224" s="863"/>
      <c r="HYO224" s="861"/>
      <c r="HYP224" s="862"/>
      <c r="HYQ224" s="862"/>
      <c r="HYR224" s="862"/>
      <c r="HYS224" s="862"/>
      <c r="HYT224" s="863"/>
      <c r="HYU224" s="861"/>
      <c r="HYV224" s="862"/>
      <c r="HYW224" s="862"/>
      <c r="HYX224" s="862"/>
      <c r="HYY224" s="862"/>
      <c r="HYZ224" s="863"/>
      <c r="HZA224" s="861"/>
      <c r="HZB224" s="862"/>
      <c r="HZC224" s="862"/>
      <c r="HZD224" s="862"/>
      <c r="HZE224" s="862"/>
      <c r="HZF224" s="863"/>
      <c r="HZG224" s="861"/>
      <c r="HZH224" s="862"/>
      <c r="HZI224" s="862"/>
      <c r="HZJ224" s="862"/>
      <c r="HZK224" s="862"/>
      <c r="HZL224" s="863"/>
      <c r="HZM224" s="861"/>
      <c r="HZN224" s="862"/>
      <c r="HZO224" s="862"/>
      <c r="HZP224" s="862"/>
      <c r="HZQ224" s="862"/>
      <c r="HZR224" s="863"/>
      <c r="HZS224" s="861"/>
      <c r="HZT224" s="862"/>
      <c r="HZU224" s="862"/>
      <c r="HZV224" s="862"/>
      <c r="HZW224" s="862"/>
      <c r="HZX224" s="863"/>
      <c r="HZY224" s="861"/>
      <c r="HZZ224" s="862"/>
      <c r="IAA224" s="862"/>
      <c r="IAB224" s="862"/>
      <c r="IAC224" s="862"/>
      <c r="IAD224" s="863"/>
      <c r="IAE224" s="861"/>
      <c r="IAF224" s="862"/>
      <c r="IAG224" s="862"/>
      <c r="IAH224" s="862"/>
      <c r="IAI224" s="862"/>
      <c r="IAJ224" s="863"/>
      <c r="IAK224" s="861"/>
      <c r="IAL224" s="862"/>
      <c r="IAM224" s="862"/>
      <c r="IAN224" s="862"/>
      <c r="IAO224" s="862"/>
      <c r="IAP224" s="863"/>
      <c r="IAQ224" s="861"/>
      <c r="IAR224" s="862"/>
      <c r="IAS224" s="862"/>
      <c r="IAT224" s="862"/>
      <c r="IAU224" s="862"/>
      <c r="IAV224" s="863"/>
      <c r="IAW224" s="861"/>
      <c r="IAX224" s="862"/>
      <c r="IAY224" s="862"/>
      <c r="IAZ224" s="862"/>
      <c r="IBA224" s="862"/>
      <c r="IBB224" s="863"/>
      <c r="IBC224" s="861"/>
      <c r="IBD224" s="862"/>
      <c r="IBE224" s="862"/>
      <c r="IBF224" s="862"/>
      <c r="IBG224" s="862"/>
      <c r="IBH224" s="863"/>
      <c r="IBI224" s="861"/>
      <c r="IBJ224" s="862"/>
      <c r="IBK224" s="862"/>
      <c r="IBL224" s="862"/>
      <c r="IBM224" s="862"/>
      <c r="IBN224" s="863"/>
      <c r="IBO224" s="861"/>
      <c r="IBP224" s="862"/>
      <c r="IBQ224" s="862"/>
      <c r="IBR224" s="862"/>
      <c r="IBS224" s="862"/>
      <c r="IBT224" s="863"/>
      <c r="IBU224" s="861"/>
      <c r="IBV224" s="862"/>
      <c r="IBW224" s="862"/>
      <c r="IBX224" s="862"/>
      <c r="IBY224" s="862"/>
      <c r="IBZ224" s="863"/>
      <c r="ICA224" s="861"/>
      <c r="ICB224" s="862"/>
      <c r="ICC224" s="862"/>
      <c r="ICD224" s="862"/>
      <c r="ICE224" s="862"/>
      <c r="ICF224" s="863"/>
      <c r="ICG224" s="861"/>
      <c r="ICH224" s="862"/>
      <c r="ICI224" s="862"/>
      <c r="ICJ224" s="862"/>
      <c r="ICK224" s="862"/>
      <c r="ICL224" s="863"/>
      <c r="ICM224" s="861"/>
      <c r="ICN224" s="862"/>
      <c r="ICO224" s="862"/>
      <c r="ICP224" s="862"/>
      <c r="ICQ224" s="862"/>
      <c r="ICR224" s="863"/>
      <c r="ICS224" s="861"/>
      <c r="ICT224" s="862"/>
      <c r="ICU224" s="862"/>
      <c r="ICV224" s="862"/>
      <c r="ICW224" s="862"/>
      <c r="ICX224" s="863"/>
      <c r="ICY224" s="861"/>
      <c r="ICZ224" s="862"/>
      <c r="IDA224" s="862"/>
      <c r="IDB224" s="862"/>
      <c r="IDC224" s="862"/>
      <c r="IDD224" s="863"/>
      <c r="IDE224" s="861"/>
      <c r="IDF224" s="862"/>
      <c r="IDG224" s="862"/>
      <c r="IDH224" s="862"/>
      <c r="IDI224" s="862"/>
      <c r="IDJ224" s="863"/>
      <c r="IDK224" s="861"/>
      <c r="IDL224" s="862"/>
      <c r="IDM224" s="862"/>
      <c r="IDN224" s="862"/>
      <c r="IDO224" s="862"/>
      <c r="IDP224" s="863"/>
      <c r="IDQ224" s="861"/>
      <c r="IDR224" s="862"/>
      <c r="IDS224" s="862"/>
      <c r="IDT224" s="862"/>
      <c r="IDU224" s="862"/>
      <c r="IDV224" s="863"/>
      <c r="IDW224" s="861"/>
      <c r="IDX224" s="862"/>
      <c r="IDY224" s="862"/>
      <c r="IDZ224" s="862"/>
      <c r="IEA224" s="862"/>
      <c r="IEB224" s="863"/>
      <c r="IEC224" s="861"/>
      <c r="IED224" s="862"/>
      <c r="IEE224" s="862"/>
      <c r="IEF224" s="862"/>
      <c r="IEG224" s="862"/>
      <c r="IEH224" s="863"/>
      <c r="IEI224" s="861"/>
      <c r="IEJ224" s="862"/>
      <c r="IEK224" s="862"/>
      <c r="IEL224" s="862"/>
      <c r="IEM224" s="862"/>
      <c r="IEN224" s="863"/>
      <c r="IEO224" s="861"/>
      <c r="IEP224" s="862"/>
      <c r="IEQ224" s="862"/>
      <c r="IER224" s="862"/>
      <c r="IES224" s="862"/>
      <c r="IET224" s="863"/>
      <c r="IEU224" s="861"/>
      <c r="IEV224" s="862"/>
      <c r="IEW224" s="862"/>
      <c r="IEX224" s="862"/>
      <c r="IEY224" s="862"/>
      <c r="IEZ224" s="863"/>
      <c r="IFA224" s="861"/>
      <c r="IFB224" s="862"/>
      <c r="IFC224" s="862"/>
      <c r="IFD224" s="862"/>
      <c r="IFE224" s="862"/>
      <c r="IFF224" s="863"/>
      <c r="IFG224" s="861"/>
      <c r="IFH224" s="862"/>
      <c r="IFI224" s="862"/>
      <c r="IFJ224" s="862"/>
      <c r="IFK224" s="862"/>
      <c r="IFL224" s="863"/>
      <c r="IFM224" s="861"/>
      <c r="IFN224" s="862"/>
      <c r="IFO224" s="862"/>
      <c r="IFP224" s="862"/>
      <c r="IFQ224" s="862"/>
      <c r="IFR224" s="863"/>
      <c r="IFS224" s="861"/>
      <c r="IFT224" s="862"/>
      <c r="IFU224" s="862"/>
      <c r="IFV224" s="862"/>
      <c r="IFW224" s="862"/>
      <c r="IFX224" s="863"/>
      <c r="IFY224" s="861"/>
      <c r="IFZ224" s="862"/>
      <c r="IGA224" s="862"/>
      <c r="IGB224" s="862"/>
      <c r="IGC224" s="862"/>
      <c r="IGD224" s="863"/>
      <c r="IGE224" s="861"/>
      <c r="IGF224" s="862"/>
      <c r="IGG224" s="862"/>
      <c r="IGH224" s="862"/>
      <c r="IGI224" s="862"/>
      <c r="IGJ224" s="863"/>
      <c r="IGK224" s="861"/>
      <c r="IGL224" s="862"/>
      <c r="IGM224" s="862"/>
      <c r="IGN224" s="862"/>
      <c r="IGO224" s="862"/>
      <c r="IGP224" s="863"/>
      <c r="IGQ224" s="861"/>
      <c r="IGR224" s="862"/>
      <c r="IGS224" s="862"/>
      <c r="IGT224" s="862"/>
      <c r="IGU224" s="862"/>
      <c r="IGV224" s="863"/>
      <c r="IGW224" s="861"/>
      <c r="IGX224" s="862"/>
      <c r="IGY224" s="862"/>
      <c r="IGZ224" s="862"/>
      <c r="IHA224" s="862"/>
      <c r="IHB224" s="863"/>
      <c r="IHC224" s="861"/>
      <c r="IHD224" s="862"/>
      <c r="IHE224" s="862"/>
      <c r="IHF224" s="862"/>
      <c r="IHG224" s="862"/>
      <c r="IHH224" s="863"/>
      <c r="IHI224" s="861"/>
      <c r="IHJ224" s="862"/>
      <c r="IHK224" s="862"/>
      <c r="IHL224" s="862"/>
      <c r="IHM224" s="862"/>
      <c r="IHN224" s="863"/>
      <c r="IHO224" s="861"/>
      <c r="IHP224" s="862"/>
      <c r="IHQ224" s="862"/>
      <c r="IHR224" s="862"/>
      <c r="IHS224" s="862"/>
      <c r="IHT224" s="863"/>
      <c r="IHU224" s="861"/>
      <c r="IHV224" s="862"/>
      <c r="IHW224" s="862"/>
      <c r="IHX224" s="862"/>
      <c r="IHY224" s="862"/>
      <c r="IHZ224" s="863"/>
      <c r="IIA224" s="861"/>
      <c r="IIB224" s="862"/>
      <c r="IIC224" s="862"/>
      <c r="IID224" s="862"/>
      <c r="IIE224" s="862"/>
      <c r="IIF224" s="863"/>
      <c r="IIG224" s="861"/>
      <c r="IIH224" s="862"/>
      <c r="III224" s="862"/>
      <c r="IIJ224" s="862"/>
      <c r="IIK224" s="862"/>
      <c r="IIL224" s="863"/>
      <c r="IIM224" s="861"/>
      <c r="IIN224" s="862"/>
      <c r="IIO224" s="862"/>
      <c r="IIP224" s="862"/>
      <c r="IIQ224" s="862"/>
      <c r="IIR224" s="863"/>
      <c r="IIS224" s="861"/>
      <c r="IIT224" s="862"/>
      <c r="IIU224" s="862"/>
      <c r="IIV224" s="862"/>
      <c r="IIW224" s="862"/>
      <c r="IIX224" s="863"/>
      <c r="IIY224" s="861"/>
      <c r="IIZ224" s="862"/>
      <c r="IJA224" s="862"/>
      <c r="IJB224" s="862"/>
      <c r="IJC224" s="862"/>
      <c r="IJD224" s="863"/>
      <c r="IJE224" s="861"/>
      <c r="IJF224" s="862"/>
      <c r="IJG224" s="862"/>
      <c r="IJH224" s="862"/>
      <c r="IJI224" s="862"/>
      <c r="IJJ224" s="863"/>
      <c r="IJK224" s="861"/>
      <c r="IJL224" s="862"/>
      <c r="IJM224" s="862"/>
      <c r="IJN224" s="862"/>
      <c r="IJO224" s="862"/>
      <c r="IJP224" s="863"/>
      <c r="IJQ224" s="861"/>
      <c r="IJR224" s="862"/>
      <c r="IJS224" s="862"/>
      <c r="IJT224" s="862"/>
      <c r="IJU224" s="862"/>
      <c r="IJV224" s="863"/>
      <c r="IJW224" s="861"/>
      <c r="IJX224" s="862"/>
      <c r="IJY224" s="862"/>
      <c r="IJZ224" s="862"/>
      <c r="IKA224" s="862"/>
      <c r="IKB224" s="863"/>
      <c r="IKC224" s="861"/>
      <c r="IKD224" s="862"/>
      <c r="IKE224" s="862"/>
      <c r="IKF224" s="862"/>
      <c r="IKG224" s="862"/>
      <c r="IKH224" s="863"/>
      <c r="IKI224" s="861"/>
      <c r="IKJ224" s="862"/>
      <c r="IKK224" s="862"/>
      <c r="IKL224" s="862"/>
      <c r="IKM224" s="862"/>
      <c r="IKN224" s="863"/>
      <c r="IKO224" s="861"/>
      <c r="IKP224" s="862"/>
      <c r="IKQ224" s="862"/>
      <c r="IKR224" s="862"/>
      <c r="IKS224" s="862"/>
      <c r="IKT224" s="863"/>
      <c r="IKU224" s="861"/>
      <c r="IKV224" s="862"/>
      <c r="IKW224" s="862"/>
      <c r="IKX224" s="862"/>
      <c r="IKY224" s="862"/>
      <c r="IKZ224" s="863"/>
      <c r="ILA224" s="861"/>
      <c r="ILB224" s="862"/>
      <c r="ILC224" s="862"/>
      <c r="ILD224" s="862"/>
      <c r="ILE224" s="862"/>
      <c r="ILF224" s="863"/>
      <c r="ILG224" s="861"/>
      <c r="ILH224" s="862"/>
      <c r="ILI224" s="862"/>
      <c r="ILJ224" s="862"/>
      <c r="ILK224" s="862"/>
      <c r="ILL224" s="863"/>
      <c r="ILM224" s="861"/>
      <c r="ILN224" s="862"/>
      <c r="ILO224" s="862"/>
      <c r="ILP224" s="862"/>
      <c r="ILQ224" s="862"/>
      <c r="ILR224" s="863"/>
      <c r="ILS224" s="861"/>
      <c r="ILT224" s="862"/>
      <c r="ILU224" s="862"/>
      <c r="ILV224" s="862"/>
      <c r="ILW224" s="862"/>
      <c r="ILX224" s="863"/>
      <c r="ILY224" s="861"/>
      <c r="ILZ224" s="862"/>
      <c r="IMA224" s="862"/>
      <c r="IMB224" s="862"/>
      <c r="IMC224" s="862"/>
      <c r="IMD224" s="863"/>
      <c r="IME224" s="861"/>
      <c r="IMF224" s="862"/>
      <c r="IMG224" s="862"/>
      <c r="IMH224" s="862"/>
      <c r="IMI224" s="862"/>
      <c r="IMJ224" s="863"/>
      <c r="IMK224" s="861"/>
      <c r="IML224" s="862"/>
      <c r="IMM224" s="862"/>
      <c r="IMN224" s="862"/>
      <c r="IMO224" s="862"/>
      <c r="IMP224" s="863"/>
      <c r="IMQ224" s="861"/>
      <c r="IMR224" s="862"/>
      <c r="IMS224" s="862"/>
      <c r="IMT224" s="862"/>
      <c r="IMU224" s="862"/>
      <c r="IMV224" s="863"/>
      <c r="IMW224" s="861"/>
      <c r="IMX224" s="862"/>
      <c r="IMY224" s="862"/>
      <c r="IMZ224" s="862"/>
      <c r="INA224" s="862"/>
      <c r="INB224" s="863"/>
      <c r="INC224" s="861"/>
      <c r="IND224" s="862"/>
      <c r="INE224" s="862"/>
      <c r="INF224" s="862"/>
      <c r="ING224" s="862"/>
      <c r="INH224" s="863"/>
      <c r="INI224" s="861"/>
      <c r="INJ224" s="862"/>
      <c r="INK224" s="862"/>
      <c r="INL224" s="862"/>
      <c r="INM224" s="862"/>
      <c r="INN224" s="863"/>
      <c r="INO224" s="861"/>
      <c r="INP224" s="862"/>
      <c r="INQ224" s="862"/>
      <c r="INR224" s="862"/>
      <c r="INS224" s="862"/>
      <c r="INT224" s="863"/>
      <c r="INU224" s="861"/>
      <c r="INV224" s="862"/>
      <c r="INW224" s="862"/>
      <c r="INX224" s="862"/>
      <c r="INY224" s="862"/>
      <c r="INZ224" s="863"/>
      <c r="IOA224" s="861"/>
      <c r="IOB224" s="862"/>
      <c r="IOC224" s="862"/>
      <c r="IOD224" s="862"/>
      <c r="IOE224" s="862"/>
      <c r="IOF224" s="863"/>
      <c r="IOG224" s="861"/>
      <c r="IOH224" s="862"/>
      <c r="IOI224" s="862"/>
      <c r="IOJ224" s="862"/>
      <c r="IOK224" s="862"/>
      <c r="IOL224" s="863"/>
      <c r="IOM224" s="861"/>
      <c r="ION224" s="862"/>
      <c r="IOO224" s="862"/>
      <c r="IOP224" s="862"/>
      <c r="IOQ224" s="862"/>
      <c r="IOR224" s="863"/>
      <c r="IOS224" s="861"/>
      <c r="IOT224" s="862"/>
      <c r="IOU224" s="862"/>
      <c r="IOV224" s="862"/>
      <c r="IOW224" s="862"/>
      <c r="IOX224" s="863"/>
      <c r="IOY224" s="861"/>
      <c r="IOZ224" s="862"/>
      <c r="IPA224" s="862"/>
      <c r="IPB224" s="862"/>
      <c r="IPC224" s="862"/>
      <c r="IPD224" s="863"/>
      <c r="IPE224" s="861"/>
      <c r="IPF224" s="862"/>
      <c r="IPG224" s="862"/>
      <c r="IPH224" s="862"/>
      <c r="IPI224" s="862"/>
      <c r="IPJ224" s="863"/>
      <c r="IPK224" s="861"/>
      <c r="IPL224" s="862"/>
      <c r="IPM224" s="862"/>
      <c r="IPN224" s="862"/>
      <c r="IPO224" s="862"/>
      <c r="IPP224" s="863"/>
      <c r="IPQ224" s="861"/>
      <c r="IPR224" s="862"/>
      <c r="IPS224" s="862"/>
      <c r="IPT224" s="862"/>
      <c r="IPU224" s="862"/>
      <c r="IPV224" s="863"/>
      <c r="IPW224" s="861"/>
      <c r="IPX224" s="862"/>
      <c r="IPY224" s="862"/>
      <c r="IPZ224" s="862"/>
      <c r="IQA224" s="862"/>
      <c r="IQB224" s="863"/>
      <c r="IQC224" s="861"/>
      <c r="IQD224" s="862"/>
      <c r="IQE224" s="862"/>
      <c r="IQF224" s="862"/>
      <c r="IQG224" s="862"/>
      <c r="IQH224" s="863"/>
      <c r="IQI224" s="861"/>
      <c r="IQJ224" s="862"/>
      <c r="IQK224" s="862"/>
      <c r="IQL224" s="862"/>
      <c r="IQM224" s="862"/>
      <c r="IQN224" s="863"/>
      <c r="IQO224" s="861"/>
      <c r="IQP224" s="862"/>
      <c r="IQQ224" s="862"/>
      <c r="IQR224" s="862"/>
      <c r="IQS224" s="862"/>
      <c r="IQT224" s="863"/>
      <c r="IQU224" s="861"/>
      <c r="IQV224" s="862"/>
      <c r="IQW224" s="862"/>
      <c r="IQX224" s="862"/>
      <c r="IQY224" s="862"/>
      <c r="IQZ224" s="863"/>
      <c r="IRA224" s="861"/>
      <c r="IRB224" s="862"/>
      <c r="IRC224" s="862"/>
      <c r="IRD224" s="862"/>
      <c r="IRE224" s="862"/>
      <c r="IRF224" s="863"/>
      <c r="IRG224" s="861"/>
      <c r="IRH224" s="862"/>
      <c r="IRI224" s="862"/>
      <c r="IRJ224" s="862"/>
      <c r="IRK224" s="862"/>
      <c r="IRL224" s="863"/>
      <c r="IRM224" s="861"/>
      <c r="IRN224" s="862"/>
      <c r="IRO224" s="862"/>
      <c r="IRP224" s="862"/>
      <c r="IRQ224" s="862"/>
      <c r="IRR224" s="863"/>
      <c r="IRS224" s="861"/>
      <c r="IRT224" s="862"/>
      <c r="IRU224" s="862"/>
      <c r="IRV224" s="862"/>
      <c r="IRW224" s="862"/>
      <c r="IRX224" s="863"/>
      <c r="IRY224" s="861"/>
      <c r="IRZ224" s="862"/>
      <c r="ISA224" s="862"/>
      <c r="ISB224" s="862"/>
      <c r="ISC224" s="862"/>
      <c r="ISD224" s="863"/>
      <c r="ISE224" s="861"/>
      <c r="ISF224" s="862"/>
      <c r="ISG224" s="862"/>
      <c r="ISH224" s="862"/>
      <c r="ISI224" s="862"/>
      <c r="ISJ224" s="863"/>
      <c r="ISK224" s="861"/>
      <c r="ISL224" s="862"/>
      <c r="ISM224" s="862"/>
      <c r="ISN224" s="862"/>
      <c r="ISO224" s="862"/>
      <c r="ISP224" s="863"/>
      <c r="ISQ224" s="861"/>
      <c r="ISR224" s="862"/>
      <c r="ISS224" s="862"/>
      <c r="IST224" s="862"/>
      <c r="ISU224" s="862"/>
      <c r="ISV224" s="863"/>
      <c r="ISW224" s="861"/>
      <c r="ISX224" s="862"/>
      <c r="ISY224" s="862"/>
      <c r="ISZ224" s="862"/>
      <c r="ITA224" s="862"/>
      <c r="ITB224" s="863"/>
      <c r="ITC224" s="861"/>
      <c r="ITD224" s="862"/>
      <c r="ITE224" s="862"/>
      <c r="ITF224" s="862"/>
      <c r="ITG224" s="862"/>
      <c r="ITH224" s="863"/>
      <c r="ITI224" s="861"/>
      <c r="ITJ224" s="862"/>
      <c r="ITK224" s="862"/>
      <c r="ITL224" s="862"/>
      <c r="ITM224" s="862"/>
      <c r="ITN224" s="863"/>
      <c r="ITO224" s="861"/>
      <c r="ITP224" s="862"/>
      <c r="ITQ224" s="862"/>
      <c r="ITR224" s="862"/>
      <c r="ITS224" s="862"/>
      <c r="ITT224" s="863"/>
      <c r="ITU224" s="861"/>
      <c r="ITV224" s="862"/>
      <c r="ITW224" s="862"/>
      <c r="ITX224" s="862"/>
      <c r="ITY224" s="862"/>
      <c r="ITZ224" s="863"/>
      <c r="IUA224" s="861"/>
      <c r="IUB224" s="862"/>
      <c r="IUC224" s="862"/>
      <c r="IUD224" s="862"/>
      <c r="IUE224" s="862"/>
      <c r="IUF224" s="863"/>
      <c r="IUG224" s="861"/>
      <c r="IUH224" s="862"/>
      <c r="IUI224" s="862"/>
      <c r="IUJ224" s="862"/>
      <c r="IUK224" s="862"/>
      <c r="IUL224" s="863"/>
      <c r="IUM224" s="861"/>
      <c r="IUN224" s="862"/>
      <c r="IUO224" s="862"/>
      <c r="IUP224" s="862"/>
      <c r="IUQ224" s="862"/>
      <c r="IUR224" s="863"/>
      <c r="IUS224" s="861"/>
      <c r="IUT224" s="862"/>
      <c r="IUU224" s="862"/>
      <c r="IUV224" s="862"/>
      <c r="IUW224" s="862"/>
      <c r="IUX224" s="863"/>
      <c r="IUY224" s="861"/>
      <c r="IUZ224" s="862"/>
      <c r="IVA224" s="862"/>
      <c r="IVB224" s="862"/>
      <c r="IVC224" s="862"/>
      <c r="IVD224" s="863"/>
      <c r="IVE224" s="861"/>
      <c r="IVF224" s="862"/>
      <c r="IVG224" s="862"/>
      <c r="IVH224" s="862"/>
      <c r="IVI224" s="862"/>
      <c r="IVJ224" s="863"/>
      <c r="IVK224" s="861"/>
      <c r="IVL224" s="862"/>
      <c r="IVM224" s="862"/>
      <c r="IVN224" s="862"/>
      <c r="IVO224" s="862"/>
      <c r="IVP224" s="863"/>
      <c r="IVQ224" s="861"/>
      <c r="IVR224" s="862"/>
      <c r="IVS224" s="862"/>
      <c r="IVT224" s="862"/>
      <c r="IVU224" s="862"/>
      <c r="IVV224" s="863"/>
      <c r="IVW224" s="861"/>
      <c r="IVX224" s="862"/>
      <c r="IVY224" s="862"/>
      <c r="IVZ224" s="862"/>
      <c r="IWA224" s="862"/>
      <c r="IWB224" s="863"/>
      <c r="IWC224" s="861"/>
      <c r="IWD224" s="862"/>
      <c r="IWE224" s="862"/>
      <c r="IWF224" s="862"/>
      <c r="IWG224" s="862"/>
      <c r="IWH224" s="863"/>
      <c r="IWI224" s="861"/>
      <c r="IWJ224" s="862"/>
      <c r="IWK224" s="862"/>
      <c r="IWL224" s="862"/>
      <c r="IWM224" s="862"/>
      <c r="IWN224" s="863"/>
      <c r="IWO224" s="861"/>
      <c r="IWP224" s="862"/>
      <c r="IWQ224" s="862"/>
      <c r="IWR224" s="862"/>
      <c r="IWS224" s="862"/>
      <c r="IWT224" s="863"/>
      <c r="IWU224" s="861"/>
      <c r="IWV224" s="862"/>
      <c r="IWW224" s="862"/>
      <c r="IWX224" s="862"/>
      <c r="IWY224" s="862"/>
      <c r="IWZ224" s="863"/>
      <c r="IXA224" s="861"/>
      <c r="IXB224" s="862"/>
      <c r="IXC224" s="862"/>
      <c r="IXD224" s="862"/>
      <c r="IXE224" s="862"/>
      <c r="IXF224" s="863"/>
      <c r="IXG224" s="861"/>
      <c r="IXH224" s="862"/>
      <c r="IXI224" s="862"/>
      <c r="IXJ224" s="862"/>
      <c r="IXK224" s="862"/>
      <c r="IXL224" s="863"/>
      <c r="IXM224" s="861"/>
      <c r="IXN224" s="862"/>
      <c r="IXO224" s="862"/>
      <c r="IXP224" s="862"/>
      <c r="IXQ224" s="862"/>
      <c r="IXR224" s="863"/>
      <c r="IXS224" s="861"/>
      <c r="IXT224" s="862"/>
      <c r="IXU224" s="862"/>
      <c r="IXV224" s="862"/>
      <c r="IXW224" s="862"/>
      <c r="IXX224" s="863"/>
      <c r="IXY224" s="861"/>
      <c r="IXZ224" s="862"/>
      <c r="IYA224" s="862"/>
      <c r="IYB224" s="862"/>
      <c r="IYC224" s="862"/>
      <c r="IYD224" s="863"/>
      <c r="IYE224" s="861"/>
      <c r="IYF224" s="862"/>
      <c r="IYG224" s="862"/>
      <c r="IYH224" s="862"/>
      <c r="IYI224" s="862"/>
      <c r="IYJ224" s="863"/>
      <c r="IYK224" s="861"/>
      <c r="IYL224" s="862"/>
      <c r="IYM224" s="862"/>
      <c r="IYN224" s="862"/>
      <c r="IYO224" s="862"/>
      <c r="IYP224" s="863"/>
      <c r="IYQ224" s="861"/>
      <c r="IYR224" s="862"/>
      <c r="IYS224" s="862"/>
      <c r="IYT224" s="862"/>
      <c r="IYU224" s="862"/>
      <c r="IYV224" s="863"/>
      <c r="IYW224" s="861"/>
      <c r="IYX224" s="862"/>
      <c r="IYY224" s="862"/>
      <c r="IYZ224" s="862"/>
      <c r="IZA224" s="862"/>
      <c r="IZB224" s="863"/>
      <c r="IZC224" s="861"/>
      <c r="IZD224" s="862"/>
      <c r="IZE224" s="862"/>
      <c r="IZF224" s="862"/>
      <c r="IZG224" s="862"/>
      <c r="IZH224" s="863"/>
      <c r="IZI224" s="861"/>
      <c r="IZJ224" s="862"/>
      <c r="IZK224" s="862"/>
      <c r="IZL224" s="862"/>
      <c r="IZM224" s="862"/>
      <c r="IZN224" s="863"/>
      <c r="IZO224" s="861"/>
      <c r="IZP224" s="862"/>
      <c r="IZQ224" s="862"/>
      <c r="IZR224" s="862"/>
      <c r="IZS224" s="862"/>
      <c r="IZT224" s="863"/>
      <c r="IZU224" s="861"/>
      <c r="IZV224" s="862"/>
      <c r="IZW224" s="862"/>
      <c r="IZX224" s="862"/>
      <c r="IZY224" s="862"/>
      <c r="IZZ224" s="863"/>
      <c r="JAA224" s="861"/>
      <c r="JAB224" s="862"/>
      <c r="JAC224" s="862"/>
      <c r="JAD224" s="862"/>
      <c r="JAE224" s="862"/>
      <c r="JAF224" s="863"/>
      <c r="JAG224" s="861"/>
      <c r="JAH224" s="862"/>
      <c r="JAI224" s="862"/>
      <c r="JAJ224" s="862"/>
      <c r="JAK224" s="862"/>
      <c r="JAL224" s="863"/>
      <c r="JAM224" s="861"/>
      <c r="JAN224" s="862"/>
      <c r="JAO224" s="862"/>
      <c r="JAP224" s="862"/>
      <c r="JAQ224" s="862"/>
      <c r="JAR224" s="863"/>
      <c r="JAS224" s="861"/>
      <c r="JAT224" s="862"/>
      <c r="JAU224" s="862"/>
      <c r="JAV224" s="862"/>
      <c r="JAW224" s="862"/>
      <c r="JAX224" s="863"/>
      <c r="JAY224" s="861"/>
      <c r="JAZ224" s="862"/>
      <c r="JBA224" s="862"/>
      <c r="JBB224" s="862"/>
      <c r="JBC224" s="862"/>
      <c r="JBD224" s="863"/>
      <c r="JBE224" s="861"/>
      <c r="JBF224" s="862"/>
      <c r="JBG224" s="862"/>
      <c r="JBH224" s="862"/>
      <c r="JBI224" s="862"/>
      <c r="JBJ224" s="863"/>
      <c r="JBK224" s="861"/>
      <c r="JBL224" s="862"/>
      <c r="JBM224" s="862"/>
      <c r="JBN224" s="862"/>
      <c r="JBO224" s="862"/>
      <c r="JBP224" s="863"/>
      <c r="JBQ224" s="861"/>
      <c r="JBR224" s="862"/>
      <c r="JBS224" s="862"/>
      <c r="JBT224" s="862"/>
      <c r="JBU224" s="862"/>
      <c r="JBV224" s="863"/>
      <c r="JBW224" s="861"/>
      <c r="JBX224" s="862"/>
      <c r="JBY224" s="862"/>
      <c r="JBZ224" s="862"/>
      <c r="JCA224" s="862"/>
      <c r="JCB224" s="863"/>
      <c r="JCC224" s="861"/>
      <c r="JCD224" s="862"/>
      <c r="JCE224" s="862"/>
      <c r="JCF224" s="862"/>
      <c r="JCG224" s="862"/>
      <c r="JCH224" s="863"/>
      <c r="JCI224" s="861"/>
      <c r="JCJ224" s="862"/>
      <c r="JCK224" s="862"/>
      <c r="JCL224" s="862"/>
      <c r="JCM224" s="862"/>
      <c r="JCN224" s="863"/>
      <c r="JCO224" s="861"/>
      <c r="JCP224" s="862"/>
      <c r="JCQ224" s="862"/>
      <c r="JCR224" s="862"/>
      <c r="JCS224" s="862"/>
      <c r="JCT224" s="863"/>
      <c r="JCU224" s="861"/>
      <c r="JCV224" s="862"/>
      <c r="JCW224" s="862"/>
      <c r="JCX224" s="862"/>
      <c r="JCY224" s="862"/>
      <c r="JCZ224" s="863"/>
      <c r="JDA224" s="861"/>
      <c r="JDB224" s="862"/>
      <c r="JDC224" s="862"/>
      <c r="JDD224" s="862"/>
      <c r="JDE224" s="862"/>
      <c r="JDF224" s="863"/>
      <c r="JDG224" s="861"/>
      <c r="JDH224" s="862"/>
      <c r="JDI224" s="862"/>
      <c r="JDJ224" s="862"/>
      <c r="JDK224" s="862"/>
      <c r="JDL224" s="863"/>
      <c r="JDM224" s="861"/>
      <c r="JDN224" s="862"/>
      <c r="JDO224" s="862"/>
      <c r="JDP224" s="862"/>
      <c r="JDQ224" s="862"/>
      <c r="JDR224" s="863"/>
      <c r="JDS224" s="861"/>
      <c r="JDT224" s="862"/>
      <c r="JDU224" s="862"/>
      <c r="JDV224" s="862"/>
      <c r="JDW224" s="862"/>
      <c r="JDX224" s="863"/>
      <c r="JDY224" s="861"/>
      <c r="JDZ224" s="862"/>
      <c r="JEA224" s="862"/>
      <c r="JEB224" s="862"/>
      <c r="JEC224" s="862"/>
      <c r="JED224" s="863"/>
      <c r="JEE224" s="861"/>
      <c r="JEF224" s="862"/>
      <c r="JEG224" s="862"/>
      <c r="JEH224" s="862"/>
      <c r="JEI224" s="862"/>
      <c r="JEJ224" s="863"/>
      <c r="JEK224" s="861"/>
      <c r="JEL224" s="862"/>
      <c r="JEM224" s="862"/>
      <c r="JEN224" s="862"/>
      <c r="JEO224" s="862"/>
      <c r="JEP224" s="863"/>
      <c r="JEQ224" s="861"/>
      <c r="JER224" s="862"/>
      <c r="JES224" s="862"/>
      <c r="JET224" s="862"/>
      <c r="JEU224" s="862"/>
      <c r="JEV224" s="863"/>
      <c r="JEW224" s="861"/>
      <c r="JEX224" s="862"/>
      <c r="JEY224" s="862"/>
      <c r="JEZ224" s="862"/>
      <c r="JFA224" s="862"/>
      <c r="JFB224" s="863"/>
      <c r="JFC224" s="861"/>
      <c r="JFD224" s="862"/>
      <c r="JFE224" s="862"/>
      <c r="JFF224" s="862"/>
      <c r="JFG224" s="862"/>
      <c r="JFH224" s="863"/>
      <c r="JFI224" s="861"/>
      <c r="JFJ224" s="862"/>
      <c r="JFK224" s="862"/>
      <c r="JFL224" s="862"/>
      <c r="JFM224" s="862"/>
      <c r="JFN224" s="863"/>
      <c r="JFO224" s="861"/>
      <c r="JFP224" s="862"/>
      <c r="JFQ224" s="862"/>
      <c r="JFR224" s="862"/>
      <c r="JFS224" s="862"/>
      <c r="JFT224" s="863"/>
      <c r="JFU224" s="861"/>
      <c r="JFV224" s="862"/>
      <c r="JFW224" s="862"/>
      <c r="JFX224" s="862"/>
      <c r="JFY224" s="862"/>
      <c r="JFZ224" s="863"/>
      <c r="JGA224" s="861"/>
      <c r="JGB224" s="862"/>
      <c r="JGC224" s="862"/>
      <c r="JGD224" s="862"/>
      <c r="JGE224" s="862"/>
      <c r="JGF224" s="863"/>
      <c r="JGG224" s="861"/>
      <c r="JGH224" s="862"/>
      <c r="JGI224" s="862"/>
      <c r="JGJ224" s="862"/>
      <c r="JGK224" s="862"/>
      <c r="JGL224" s="863"/>
      <c r="JGM224" s="861"/>
      <c r="JGN224" s="862"/>
      <c r="JGO224" s="862"/>
      <c r="JGP224" s="862"/>
      <c r="JGQ224" s="862"/>
      <c r="JGR224" s="863"/>
      <c r="JGS224" s="861"/>
      <c r="JGT224" s="862"/>
      <c r="JGU224" s="862"/>
      <c r="JGV224" s="862"/>
      <c r="JGW224" s="862"/>
      <c r="JGX224" s="863"/>
      <c r="JGY224" s="861"/>
      <c r="JGZ224" s="862"/>
      <c r="JHA224" s="862"/>
      <c r="JHB224" s="862"/>
      <c r="JHC224" s="862"/>
      <c r="JHD224" s="863"/>
      <c r="JHE224" s="861"/>
      <c r="JHF224" s="862"/>
      <c r="JHG224" s="862"/>
      <c r="JHH224" s="862"/>
      <c r="JHI224" s="862"/>
      <c r="JHJ224" s="863"/>
      <c r="JHK224" s="861"/>
      <c r="JHL224" s="862"/>
      <c r="JHM224" s="862"/>
      <c r="JHN224" s="862"/>
      <c r="JHO224" s="862"/>
      <c r="JHP224" s="863"/>
      <c r="JHQ224" s="861"/>
      <c r="JHR224" s="862"/>
      <c r="JHS224" s="862"/>
      <c r="JHT224" s="862"/>
      <c r="JHU224" s="862"/>
      <c r="JHV224" s="863"/>
      <c r="JHW224" s="861"/>
      <c r="JHX224" s="862"/>
      <c r="JHY224" s="862"/>
      <c r="JHZ224" s="862"/>
      <c r="JIA224" s="862"/>
      <c r="JIB224" s="863"/>
      <c r="JIC224" s="861"/>
      <c r="JID224" s="862"/>
      <c r="JIE224" s="862"/>
      <c r="JIF224" s="862"/>
      <c r="JIG224" s="862"/>
      <c r="JIH224" s="863"/>
      <c r="JII224" s="861"/>
      <c r="JIJ224" s="862"/>
      <c r="JIK224" s="862"/>
      <c r="JIL224" s="862"/>
      <c r="JIM224" s="862"/>
      <c r="JIN224" s="863"/>
      <c r="JIO224" s="861"/>
      <c r="JIP224" s="862"/>
      <c r="JIQ224" s="862"/>
      <c r="JIR224" s="862"/>
      <c r="JIS224" s="862"/>
      <c r="JIT224" s="863"/>
      <c r="JIU224" s="861"/>
      <c r="JIV224" s="862"/>
      <c r="JIW224" s="862"/>
      <c r="JIX224" s="862"/>
      <c r="JIY224" s="862"/>
      <c r="JIZ224" s="863"/>
      <c r="JJA224" s="861"/>
      <c r="JJB224" s="862"/>
      <c r="JJC224" s="862"/>
      <c r="JJD224" s="862"/>
      <c r="JJE224" s="862"/>
      <c r="JJF224" s="863"/>
      <c r="JJG224" s="861"/>
      <c r="JJH224" s="862"/>
      <c r="JJI224" s="862"/>
      <c r="JJJ224" s="862"/>
      <c r="JJK224" s="862"/>
      <c r="JJL224" s="863"/>
      <c r="JJM224" s="861"/>
      <c r="JJN224" s="862"/>
      <c r="JJO224" s="862"/>
      <c r="JJP224" s="862"/>
      <c r="JJQ224" s="862"/>
      <c r="JJR224" s="863"/>
      <c r="JJS224" s="861"/>
      <c r="JJT224" s="862"/>
      <c r="JJU224" s="862"/>
      <c r="JJV224" s="862"/>
      <c r="JJW224" s="862"/>
      <c r="JJX224" s="863"/>
      <c r="JJY224" s="861"/>
      <c r="JJZ224" s="862"/>
      <c r="JKA224" s="862"/>
      <c r="JKB224" s="862"/>
      <c r="JKC224" s="862"/>
      <c r="JKD224" s="863"/>
      <c r="JKE224" s="861"/>
      <c r="JKF224" s="862"/>
      <c r="JKG224" s="862"/>
      <c r="JKH224" s="862"/>
      <c r="JKI224" s="862"/>
      <c r="JKJ224" s="863"/>
      <c r="JKK224" s="861"/>
      <c r="JKL224" s="862"/>
      <c r="JKM224" s="862"/>
      <c r="JKN224" s="862"/>
      <c r="JKO224" s="862"/>
      <c r="JKP224" s="863"/>
      <c r="JKQ224" s="861"/>
      <c r="JKR224" s="862"/>
      <c r="JKS224" s="862"/>
      <c r="JKT224" s="862"/>
      <c r="JKU224" s="862"/>
      <c r="JKV224" s="863"/>
      <c r="JKW224" s="861"/>
      <c r="JKX224" s="862"/>
      <c r="JKY224" s="862"/>
      <c r="JKZ224" s="862"/>
      <c r="JLA224" s="862"/>
      <c r="JLB224" s="863"/>
      <c r="JLC224" s="861"/>
      <c r="JLD224" s="862"/>
      <c r="JLE224" s="862"/>
      <c r="JLF224" s="862"/>
      <c r="JLG224" s="862"/>
      <c r="JLH224" s="863"/>
      <c r="JLI224" s="861"/>
      <c r="JLJ224" s="862"/>
      <c r="JLK224" s="862"/>
      <c r="JLL224" s="862"/>
      <c r="JLM224" s="862"/>
      <c r="JLN224" s="863"/>
      <c r="JLO224" s="861"/>
      <c r="JLP224" s="862"/>
      <c r="JLQ224" s="862"/>
      <c r="JLR224" s="862"/>
      <c r="JLS224" s="862"/>
      <c r="JLT224" s="863"/>
      <c r="JLU224" s="861"/>
      <c r="JLV224" s="862"/>
      <c r="JLW224" s="862"/>
      <c r="JLX224" s="862"/>
      <c r="JLY224" s="862"/>
      <c r="JLZ224" s="863"/>
      <c r="JMA224" s="861"/>
      <c r="JMB224" s="862"/>
      <c r="JMC224" s="862"/>
      <c r="JMD224" s="862"/>
      <c r="JME224" s="862"/>
      <c r="JMF224" s="863"/>
      <c r="JMG224" s="861"/>
      <c r="JMH224" s="862"/>
      <c r="JMI224" s="862"/>
      <c r="JMJ224" s="862"/>
      <c r="JMK224" s="862"/>
      <c r="JML224" s="863"/>
      <c r="JMM224" s="861"/>
      <c r="JMN224" s="862"/>
      <c r="JMO224" s="862"/>
      <c r="JMP224" s="862"/>
      <c r="JMQ224" s="862"/>
      <c r="JMR224" s="863"/>
      <c r="JMS224" s="861"/>
      <c r="JMT224" s="862"/>
      <c r="JMU224" s="862"/>
      <c r="JMV224" s="862"/>
      <c r="JMW224" s="862"/>
      <c r="JMX224" s="863"/>
      <c r="JMY224" s="861"/>
      <c r="JMZ224" s="862"/>
      <c r="JNA224" s="862"/>
      <c r="JNB224" s="862"/>
      <c r="JNC224" s="862"/>
      <c r="JND224" s="863"/>
      <c r="JNE224" s="861"/>
      <c r="JNF224" s="862"/>
      <c r="JNG224" s="862"/>
      <c r="JNH224" s="862"/>
      <c r="JNI224" s="862"/>
      <c r="JNJ224" s="863"/>
      <c r="JNK224" s="861"/>
      <c r="JNL224" s="862"/>
      <c r="JNM224" s="862"/>
      <c r="JNN224" s="862"/>
      <c r="JNO224" s="862"/>
      <c r="JNP224" s="863"/>
      <c r="JNQ224" s="861"/>
      <c r="JNR224" s="862"/>
      <c r="JNS224" s="862"/>
      <c r="JNT224" s="862"/>
      <c r="JNU224" s="862"/>
      <c r="JNV224" s="863"/>
      <c r="JNW224" s="861"/>
      <c r="JNX224" s="862"/>
      <c r="JNY224" s="862"/>
      <c r="JNZ224" s="862"/>
      <c r="JOA224" s="862"/>
      <c r="JOB224" s="863"/>
      <c r="JOC224" s="861"/>
      <c r="JOD224" s="862"/>
      <c r="JOE224" s="862"/>
      <c r="JOF224" s="862"/>
      <c r="JOG224" s="862"/>
      <c r="JOH224" s="863"/>
      <c r="JOI224" s="861"/>
      <c r="JOJ224" s="862"/>
      <c r="JOK224" s="862"/>
      <c r="JOL224" s="862"/>
      <c r="JOM224" s="862"/>
      <c r="JON224" s="863"/>
      <c r="JOO224" s="861"/>
      <c r="JOP224" s="862"/>
      <c r="JOQ224" s="862"/>
      <c r="JOR224" s="862"/>
      <c r="JOS224" s="862"/>
      <c r="JOT224" s="863"/>
      <c r="JOU224" s="861"/>
      <c r="JOV224" s="862"/>
      <c r="JOW224" s="862"/>
      <c r="JOX224" s="862"/>
      <c r="JOY224" s="862"/>
      <c r="JOZ224" s="863"/>
      <c r="JPA224" s="861"/>
      <c r="JPB224" s="862"/>
      <c r="JPC224" s="862"/>
      <c r="JPD224" s="862"/>
      <c r="JPE224" s="862"/>
      <c r="JPF224" s="863"/>
      <c r="JPG224" s="861"/>
      <c r="JPH224" s="862"/>
      <c r="JPI224" s="862"/>
      <c r="JPJ224" s="862"/>
      <c r="JPK224" s="862"/>
      <c r="JPL224" s="863"/>
      <c r="JPM224" s="861"/>
      <c r="JPN224" s="862"/>
      <c r="JPO224" s="862"/>
      <c r="JPP224" s="862"/>
      <c r="JPQ224" s="862"/>
      <c r="JPR224" s="863"/>
      <c r="JPS224" s="861"/>
      <c r="JPT224" s="862"/>
      <c r="JPU224" s="862"/>
      <c r="JPV224" s="862"/>
      <c r="JPW224" s="862"/>
      <c r="JPX224" s="863"/>
      <c r="JPY224" s="861"/>
      <c r="JPZ224" s="862"/>
      <c r="JQA224" s="862"/>
      <c r="JQB224" s="862"/>
      <c r="JQC224" s="862"/>
      <c r="JQD224" s="863"/>
      <c r="JQE224" s="861"/>
      <c r="JQF224" s="862"/>
      <c r="JQG224" s="862"/>
      <c r="JQH224" s="862"/>
      <c r="JQI224" s="862"/>
      <c r="JQJ224" s="863"/>
      <c r="JQK224" s="861"/>
      <c r="JQL224" s="862"/>
      <c r="JQM224" s="862"/>
      <c r="JQN224" s="862"/>
      <c r="JQO224" s="862"/>
      <c r="JQP224" s="863"/>
      <c r="JQQ224" s="861"/>
      <c r="JQR224" s="862"/>
      <c r="JQS224" s="862"/>
      <c r="JQT224" s="862"/>
      <c r="JQU224" s="862"/>
      <c r="JQV224" s="863"/>
      <c r="JQW224" s="861"/>
      <c r="JQX224" s="862"/>
      <c r="JQY224" s="862"/>
      <c r="JQZ224" s="862"/>
      <c r="JRA224" s="862"/>
      <c r="JRB224" s="863"/>
      <c r="JRC224" s="861"/>
      <c r="JRD224" s="862"/>
      <c r="JRE224" s="862"/>
      <c r="JRF224" s="862"/>
      <c r="JRG224" s="862"/>
      <c r="JRH224" s="863"/>
      <c r="JRI224" s="861"/>
      <c r="JRJ224" s="862"/>
      <c r="JRK224" s="862"/>
      <c r="JRL224" s="862"/>
      <c r="JRM224" s="862"/>
      <c r="JRN224" s="863"/>
      <c r="JRO224" s="861"/>
      <c r="JRP224" s="862"/>
      <c r="JRQ224" s="862"/>
      <c r="JRR224" s="862"/>
      <c r="JRS224" s="862"/>
      <c r="JRT224" s="863"/>
      <c r="JRU224" s="861"/>
      <c r="JRV224" s="862"/>
      <c r="JRW224" s="862"/>
      <c r="JRX224" s="862"/>
      <c r="JRY224" s="862"/>
      <c r="JRZ224" s="863"/>
      <c r="JSA224" s="861"/>
      <c r="JSB224" s="862"/>
      <c r="JSC224" s="862"/>
      <c r="JSD224" s="862"/>
      <c r="JSE224" s="862"/>
      <c r="JSF224" s="863"/>
      <c r="JSG224" s="861"/>
      <c r="JSH224" s="862"/>
      <c r="JSI224" s="862"/>
      <c r="JSJ224" s="862"/>
      <c r="JSK224" s="862"/>
      <c r="JSL224" s="863"/>
      <c r="JSM224" s="861"/>
      <c r="JSN224" s="862"/>
      <c r="JSO224" s="862"/>
      <c r="JSP224" s="862"/>
      <c r="JSQ224" s="862"/>
      <c r="JSR224" s="863"/>
      <c r="JSS224" s="861"/>
      <c r="JST224" s="862"/>
      <c r="JSU224" s="862"/>
      <c r="JSV224" s="862"/>
      <c r="JSW224" s="862"/>
      <c r="JSX224" s="863"/>
      <c r="JSY224" s="861"/>
      <c r="JSZ224" s="862"/>
      <c r="JTA224" s="862"/>
      <c r="JTB224" s="862"/>
      <c r="JTC224" s="862"/>
      <c r="JTD224" s="863"/>
      <c r="JTE224" s="861"/>
      <c r="JTF224" s="862"/>
      <c r="JTG224" s="862"/>
      <c r="JTH224" s="862"/>
      <c r="JTI224" s="862"/>
      <c r="JTJ224" s="863"/>
      <c r="JTK224" s="861"/>
      <c r="JTL224" s="862"/>
      <c r="JTM224" s="862"/>
      <c r="JTN224" s="862"/>
      <c r="JTO224" s="862"/>
      <c r="JTP224" s="863"/>
      <c r="JTQ224" s="861"/>
      <c r="JTR224" s="862"/>
      <c r="JTS224" s="862"/>
      <c r="JTT224" s="862"/>
      <c r="JTU224" s="862"/>
      <c r="JTV224" s="863"/>
      <c r="JTW224" s="861"/>
      <c r="JTX224" s="862"/>
      <c r="JTY224" s="862"/>
      <c r="JTZ224" s="862"/>
      <c r="JUA224" s="862"/>
      <c r="JUB224" s="863"/>
      <c r="JUC224" s="861"/>
      <c r="JUD224" s="862"/>
      <c r="JUE224" s="862"/>
      <c r="JUF224" s="862"/>
      <c r="JUG224" s="862"/>
      <c r="JUH224" s="863"/>
      <c r="JUI224" s="861"/>
      <c r="JUJ224" s="862"/>
      <c r="JUK224" s="862"/>
      <c r="JUL224" s="862"/>
      <c r="JUM224" s="862"/>
      <c r="JUN224" s="863"/>
      <c r="JUO224" s="861"/>
      <c r="JUP224" s="862"/>
      <c r="JUQ224" s="862"/>
      <c r="JUR224" s="862"/>
      <c r="JUS224" s="862"/>
      <c r="JUT224" s="863"/>
      <c r="JUU224" s="861"/>
      <c r="JUV224" s="862"/>
      <c r="JUW224" s="862"/>
      <c r="JUX224" s="862"/>
      <c r="JUY224" s="862"/>
      <c r="JUZ224" s="863"/>
      <c r="JVA224" s="861"/>
      <c r="JVB224" s="862"/>
      <c r="JVC224" s="862"/>
      <c r="JVD224" s="862"/>
      <c r="JVE224" s="862"/>
      <c r="JVF224" s="863"/>
      <c r="JVG224" s="861"/>
      <c r="JVH224" s="862"/>
      <c r="JVI224" s="862"/>
      <c r="JVJ224" s="862"/>
      <c r="JVK224" s="862"/>
      <c r="JVL224" s="863"/>
      <c r="JVM224" s="861"/>
      <c r="JVN224" s="862"/>
      <c r="JVO224" s="862"/>
      <c r="JVP224" s="862"/>
      <c r="JVQ224" s="862"/>
      <c r="JVR224" s="863"/>
      <c r="JVS224" s="861"/>
      <c r="JVT224" s="862"/>
      <c r="JVU224" s="862"/>
      <c r="JVV224" s="862"/>
      <c r="JVW224" s="862"/>
      <c r="JVX224" s="863"/>
      <c r="JVY224" s="861"/>
      <c r="JVZ224" s="862"/>
      <c r="JWA224" s="862"/>
      <c r="JWB224" s="862"/>
      <c r="JWC224" s="862"/>
      <c r="JWD224" s="863"/>
      <c r="JWE224" s="861"/>
      <c r="JWF224" s="862"/>
      <c r="JWG224" s="862"/>
      <c r="JWH224" s="862"/>
      <c r="JWI224" s="862"/>
      <c r="JWJ224" s="863"/>
      <c r="JWK224" s="861"/>
      <c r="JWL224" s="862"/>
      <c r="JWM224" s="862"/>
      <c r="JWN224" s="862"/>
      <c r="JWO224" s="862"/>
      <c r="JWP224" s="863"/>
      <c r="JWQ224" s="861"/>
      <c r="JWR224" s="862"/>
      <c r="JWS224" s="862"/>
      <c r="JWT224" s="862"/>
      <c r="JWU224" s="862"/>
      <c r="JWV224" s="863"/>
      <c r="JWW224" s="861"/>
      <c r="JWX224" s="862"/>
      <c r="JWY224" s="862"/>
      <c r="JWZ224" s="862"/>
      <c r="JXA224" s="862"/>
      <c r="JXB224" s="863"/>
      <c r="JXC224" s="861"/>
      <c r="JXD224" s="862"/>
      <c r="JXE224" s="862"/>
      <c r="JXF224" s="862"/>
      <c r="JXG224" s="862"/>
      <c r="JXH224" s="863"/>
      <c r="JXI224" s="861"/>
      <c r="JXJ224" s="862"/>
      <c r="JXK224" s="862"/>
      <c r="JXL224" s="862"/>
      <c r="JXM224" s="862"/>
      <c r="JXN224" s="863"/>
      <c r="JXO224" s="861"/>
      <c r="JXP224" s="862"/>
      <c r="JXQ224" s="862"/>
      <c r="JXR224" s="862"/>
      <c r="JXS224" s="862"/>
      <c r="JXT224" s="863"/>
      <c r="JXU224" s="861"/>
      <c r="JXV224" s="862"/>
      <c r="JXW224" s="862"/>
      <c r="JXX224" s="862"/>
      <c r="JXY224" s="862"/>
      <c r="JXZ224" s="863"/>
      <c r="JYA224" s="861"/>
      <c r="JYB224" s="862"/>
      <c r="JYC224" s="862"/>
      <c r="JYD224" s="862"/>
      <c r="JYE224" s="862"/>
      <c r="JYF224" s="863"/>
      <c r="JYG224" s="861"/>
      <c r="JYH224" s="862"/>
      <c r="JYI224" s="862"/>
      <c r="JYJ224" s="862"/>
      <c r="JYK224" s="862"/>
      <c r="JYL224" s="863"/>
      <c r="JYM224" s="861"/>
      <c r="JYN224" s="862"/>
      <c r="JYO224" s="862"/>
      <c r="JYP224" s="862"/>
      <c r="JYQ224" s="862"/>
      <c r="JYR224" s="863"/>
      <c r="JYS224" s="861"/>
      <c r="JYT224" s="862"/>
      <c r="JYU224" s="862"/>
      <c r="JYV224" s="862"/>
      <c r="JYW224" s="862"/>
      <c r="JYX224" s="863"/>
      <c r="JYY224" s="861"/>
      <c r="JYZ224" s="862"/>
      <c r="JZA224" s="862"/>
      <c r="JZB224" s="862"/>
      <c r="JZC224" s="862"/>
      <c r="JZD224" s="863"/>
      <c r="JZE224" s="861"/>
      <c r="JZF224" s="862"/>
      <c r="JZG224" s="862"/>
      <c r="JZH224" s="862"/>
      <c r="JZI224" s="862"/>
      <c r="JZJ224" s="863"/>
      <c r="JZK224" s="861"/>
      <c r="JZL224" s="862"/>
      <c r="JZM224" s="862"/>
      <c r="JZN224" s="862"/>
      <c r="JZO224" s="862"/>
      <c r="JZP224" s="863"/>
      <c r="JZQ224" s="861"/>
      <c r="JZR224" s="862"/>
      <c r="JZS224" s="862"/>
      <c r="JZT224" s="862"/>
      <c r="JZU224" s="862"/>
      <c r="JZV224" s="863"/>
      <c r="JZW224" s="861"/>
      <c r="JZX224" s="862"/>
      <c r="JZY224" s="862"/>
      <c r="JZZ224" s="862"/>
      <c r="KAA224" s="862"/>
      <c r="KAB224" s="863"/>
      <c r="KAC224" s="861"/>
      <c r="KAD224" s="862"/>
      <c r="KAE224" s="862"/>
      <c r="KAF224" s="862"/>
      <c r="KAG224" s="862"/>
      <c r="KAH224" s="863"/>
      <c r="KAI224" s="861"/>
      <c r="KAJ224" s="862"/>
      <c r="KAK224" s="862"/>
      <c r="KAL224" s="862"/>
      <c r="KAM224" s="862"/>
      <c r="KAN224" s="863"/>
      <c r="KAO224" s="861"/>
      <c r="KAP224" s="862"/>
      <c r="KAQ224" s="862"/>
      <c r="KAR224" s="862"/>
      <c r="KAS224" s="862"/>
      <c r="KAT224" s="863"/>
      <c r="KAU224" s="861"/>
      <c r="KAV224" s="862"/>
      <c r="KAW224" s="862"/>
      <c r="KAX224" s="862"/>
      <c r="KAY224" s="862"/>
      <c r="KAZ224" s="863"/>
      <c r="KBA224" s="861"/>
      <c r="KBB224" s="862"/>
      <c r="KBC224" s="862"/>
      <c r="KBD224" s="862"/>
      <c r="KBE224" s="862"/>
      <c r="KBF224" s="863"/>
      <c r="KBG224" s="861"/>
      <c r="KBH224" s="862"/>
      <c r="KBI224" s="862"/>
      <c r="KBJ224" s="862"/>
      <c r="KBK224" s="862"/>
      <c r="KBL224" s="863"/>
      <c r="KBM224" s="861"/>
      <c r="KBN224" s="862"/>
      <c r="KBO224" s="862"/>
      <c r="KBP224" s="862"/>
      <c r="KBQ224" s="862"/>
      <c r="KBR224" s="863"/>
      <c r="KBS224" s="861"/>
      <c r="KBT224" s="862"/>
      <c r="KBU224" s="862"/>
      <c r="KBV224" s="862"/>
      <c r="KBW224" s="862"/>
      <c r="KBX224" s="863"/>
      <c r="KBY224" s="861"/>
      <c r="KBZ224" s="862"/>
      <c r="KCA224" s="862"/>
      <c r="KCB224" s="862"/>
      <c r="KCC224" s="862"/>
      <c r="KCD224" s="863"/>
      <c r="KCE224" s="861"/>
      <c r="KCF224" s="862"/>
      <c r="KCG224" s="862"/>
      <c r="KCH224" s="862"/>
      <c r="KCI224" s="862"/>
      <c r="KCJ224" s="863"/>
      <c r="KCK224" s="861"/>
      <c r="KCL224" s="862"/>
      <c r="KCM224" s="862"/>
      <c r="KCN224" s="862"/>
      <c r="KCO224" s="862"/>
      <c r="KCP224" s="863"/>
      <c r="KCQ224" s="861"/>
      <c r="KCR224" s="862"/>
      <c r="KCS224" s="862"/>
      <c r="KCT224" s="862"/>
      <c r="KCU224" s="862"/>
      <c r="KCV224" s="863"/>
      <c r="KCW224" s="861"/>
      <c r="KCX224" s="862"/>
      <c r="KCY224" s="862"/>
      <c r="KCZ224" s="862"/>
      <c r="KDA224" s="862"/>
      <c r="KDB224" s="863"/>
      <c r="KDC224" s="861"/>
      <c r="KDD224" s="862"/>
      <c r="KDE224" s="862"/>
      <c r="KDF224" s="862"/>
      <c r="KDG224" s="862"/>
      <c r="KDH224" s="863"/>
      <c r="KDI224" s="861"/>
      <c r="KDJ224" s="862"/>
      <c r="KDK224" s="862"/>
      <c r="KDL224" s="862"/>
      <c r="KDM224" s="862"/>
      <c r="KDN224" s="863"/>
      <c r="KDO224" s="861"/>
      <c r="KDP224" s="862"/>
      <c r="KDQ224" s="862"/>
      <c r="KDR224" s="862"/>
      <c r="KDS224" s="862"/>
      <c r="KDT224" s="863"/>
      <c r="KDU224" s="861"/>
      <c r="KDV224" s="862"/>
      <c r="KDW224" s="862"/>
      <c r="KDX224" s="862"/>
      <c r="KDY224" s="862"/>
      <c r="KDZ224" s="863"/>
      <c r="KEA224" s="861"/>
      <c r="KEB224" s="862"/>
      <c r="KEC224" s="862"/>
      <c r="KED224" s="862"/>
      <c r="KEE224" s="862"/>
      <c r="KEF224" s="863"/>
      <c r="KEG224" s="861"/>
      <c r="KEH224" s="862"/>
      <c r="KEI224" s="862"/>
      <c r="KEJ224" s="862"/>
      <c r="KEK224" s="862"/>
      <c r="KEL224" s="863"/>
      <c r="KEM224" s="861"/>
      <c r="KEN224" s="862"/>
      <c r="KEO224" s="862"/>
      <c r="KEP224" s="862"/>
      <c r="KEQ224" s="862"/>
      <c r="KER224" s="863"/>
      <c r="KES224" s="861"/>
      <c r="KET224" s="862"/>
      <c r="KEU224" s="862"/>
      <c r="KEV224" s="862"/>
      <c r="KEW224" s="862"/>
      <c r="KEX224" s="863"/>
      <c r="KEY224" s="861"/>
      <c r="KEZ224" s="862"/>
      <c r="KFA224" s="862"/>
      <c r="KFB224" s="862"/>
      <c r="KFC224" s="862"/>
      <c r="KFD224" s="863"/>
      <c r="KFE224" s="861"/>
      <c r="KFF224" s="862"/>
      <c r="KFG224" s="862"/>
      <c r="KFH224" s="862"/>
      <c r="KFI224" s="862"/>
      <c r="KFJ224" s="863"/>
      <c r="KFK224" s="861"/>
      <c r="KFL224" s="862"/>
      <c r="KFM224" s="862"/>
      <c r="KFN224" s="862"/>
      <c r="KFO224" s="862"/>
      <c r="KFP224" s="863"/>
      <c r="KFQ224" s="861"/>
      <c r="KFR224" s="862"/>
      <c r="KFS224" s="862"/>
      <c r="KFT224" s="862"/>
      <c r="KFU224" s="862"/>
      <c r="KFV224" s="863"/>
      <c r="KFW224" s="861"/>
      <c r="KFX224" s="862"/>
      <c r="KFY224" s="862"/>
      <c r="KFZ224" s="862"/>
      <c r="KGA224" s="862"/>
      <c r="KGB224" s="863"/>
      <c r="KGC224" s="861"/>
      <c r="KGD224" s="862"/>
      <c r="KGE224" s="862"/>
      <c r="KGF224" s="862"/>
      <c r="KGG224" s="862"/>
      <c r="KGH224" s="863"/>
      <c r="KGI224" s="861"/>
      <c r="KGJ224" s="862"/>
      <c r="KGK224" s="862"/>
      <c r="KGL224" s="862"/>
      <c r="KGM224" s="862"/>
      <c r="KGN224" s="863"/>
      <c r="KGO224" s="861"/>
      <c r="KGP224" s="862"/>
      <c r="KGQ224" s="862"/>
      <c r="KGR224" s="862"/>
      <c r="KGS224" s="862"/>
      <c r="KGT224" s="863"/>
      <c r="KGU224" s="861"/>
      <c r="KGV224" s="862"/>
      <c r="KGW224" s="862"/>
      <c r="KGX224" s="862"/>
      <c r="KGY224" s="862"/>
      <c r="KGZ224" s="863"/>
      <c r="KHA224" s="861"/>
      <c r="KHB224" s="862"/>
      <c r="KHC224" s="862"/>
      <c r="KHD224" s="862"/>
      <c r="KHE224" s="862"/>
      <c r="KHF224" s="863"/>
      <c r="KHG224" s="861"/>
      <c r="KHH224" s="862"/>
      <c r="KHI224" s="862"/>
      <c r="KHJ224" s="862"/>
      <c r="KHK224" s="862"/>
      <c r="KHL224" s="863"/>
      <c r="KHM224" s="861"/>
      <c r="KHN224" s="862"/>
      <c r="KHO224" s="862"/>
      <c r="KHP224" s="862"/>
      <c r="KHQ224" s="862"/>
      <c r="KHR224" s="863"/>
      <c r="KHS224" s="861"/>
      <c r="KHT224" s="862"/>
      <c r="KHU224" s="862"/>
      <c r="KHV224" s="862"/>
      <c r="KHW224" s="862"/>
      <c r="KHX224" s="863"/>
      <c r="KHY224" s="861"/>
      <c r="KHZ224" s="862"/>
      <c r="KIA224" s="862"/>
      <c r="KIB224" s="862"/>
      <c r="KIC224" s="862"/>
      <c r="KID224" s="863"/>
      <c r="KIE224" s="861"/>
      <c r="KIF224" s="862"/>
      <c r="KIG224" s="862"/>
      <c r="KIH224" s="862"/>
      <c r="KII224" s="862"/>
      <c r="KIJ224" s="863"/>
      <c r="KIK224" s="861"/>
      <c r="KIL224" s="862"/>
      <c r="KIM224" s="862"/>
      <c r="KIN224" s="862"/>
      <c r="KIO224" s="862"/>
      <c r="KIP224" s="863"/>
      <c r="KIQ224" s="861"/>
      <c r="KIR224" s="862"/>
      <c r="KIS224" s="862"/>
      <c r="KIT224" s="862"/>
      <c r="KIU224" s="862"/>
      <c r="KIV224" s="863"/>
      <c r="KIW224" s="861"/>
      <c r="KIX224" s="862"/>
      <c r="KIY224" s="862"/>
      <c r="KIZ224" s="862"/>
      <c r="KJA224" s="862"/>
      <c r="KJB224" s="863"/>
      <c r="KJC224" s="861"/>
      <c r="KJD224" s="862"/>
      <c r="KJE224" s="862"/>
      <c r="KJF224" s="862"/>
      <c r="KJG224" s="862"/>
      <c r="KJH224" s="863"/>
      <c r="KJI224" s="861"/>
      <c r="KJJ224" s="862"/>
      <c r="KJK224" s="862"/>
      <c r="KJL224" s="862"/>
      <c r="KJM224" s="862"/>
      <c r="KJN224" s="863"/>
      <c r="KJO224" s="861"/>
      <c r="KJP224" s="862"/>
      <c r="KJQ224" s="862"/>
      <c r="KJR224" s="862"/>
      <c r="KJS224" s="862"/>
      <c r="KJT224" s="863"/>
      <c r="KJU224" s="861"/>
      <c r="KJV224" s="862"/>
      <c r="KJW224" s="862"/>
      <c r="KJX224" s="862"/>
      <c r="KJY224" s="862"/>
      <c r="KJZ224" s="863"/>
      <c r="KKA224" s="861"/>
      <c r="KKB224" s="862"/>
      <c r="KKC224" s="862"/>
      <c r="KKD224" s="862"/>
      <c r="KKE224" s="862"/>
      <c r="KKF224" s="863"/>
      <c r="KKG224" s="861"/>
      <c r="KKH224" s="862"/>
      <c r="KKI224" s="862"/>
      <c r="KKJ224" s="862"/>
      <c r="KKK224" s="862"/>
      <c r="KKL224" s="863"/>
      <c r="KKM224" s="861"/>
      <c r="KKN224" s="862"/>
      <c r="KKO224" s="862"/>
      <c r="KKP224" s="862"/>
      <c r="KKQ224" s="862"/>
      <c r="KKR224" s="863"/>
      <c r="KKS224" s="861"/>
      <c r="KKT224" s="862"/>
      <c r="KKU224" s="862"/>
      <c r="KKV224" s="862"/>
      <c r="KKW224" s="862"/>
      <c r="KKX224" s="863"/>
      <c r="KKY224" s="861"/>
      <c r="KKZ224" s="862"/>
      <c r="KLA224" s="862"/>
      <c r="KLB224" s="862"/>
      <c r="KLC224" s="862"/>
      <c r="KLD224" s="863"/>
      <c r="KLE224" s="861"/>
      <c r="KLF224" s="862"/>
      <c r="KLG224" s="862"/>
      <c r="KLH224" s="862"/>
      <c r="KLI224" s="862"/>
      <c r="KLJ224" s="863"/>
      <c r="KLK224" s="861"/>
      <c r="KLL224" s="862"/>
      <c r="KLM224" s="862"/>
      <c r="KLN224" s="862"/>
      <c r="KLO224" s="862"/>
      <c r="KLP224" s="863"/>
      <c r="KLQ224" s="861"/>
      <c r="KLR224" s="862"/>
      <c r="KLS224" s="862"/>
      <c r="KLT224" s="862"/>
      <c r="KLU224" s="862"/>
      <c r="KLV224" s="863"/>
      <c r="KLW224" s="861"/>
      <c r="KLX224" s="862"/>
      <c r="KLY224" s="862"/>
      <c r="KLZ224" s="862"/>
      <c r="KMA224" s="862"/>
      <c r="KMB224" s="863"/>
      <c r="KMC224" s="861"/>
      <c r="KMD224" s="862"/>
      <c r="KME224" s="862"/>
      <c r="KMF224" s="862"/>
      <c r="KMG224" s="862"/>
      <c r="KMH224" s="863"/>
      <c r="KMI224" s="861"/>
      <c r="KMJ224" s="862"/>
      <c r="KMK224" s="862"/>
      <c r="KML224" s="862"/>
      <c r="KMM224" s="862"/>
      <c r="KMN224" s="863"/>
      <c r="KMO224" s="861"/>
      <c r="KMP224" s="862"/>
      <c r="KMQ224" s="862"/>
      <c r="KMR224" s="862"/>
      <c r="KMS224" s="862"/>
      <c r="KMT224" s="863"/>
      <c r="KMU224" s="861"/>
      <c r="KMV224" s="862"/>
      <c r="KMW224" s="862"/>
      <c r="KMX224" s="862"/>
      <c r="KMY224" s="862"/>
      <c r="KMZ224" s="863"/>
      <c r="KNA224" s="861"/>
      <c r="KNB224" s="862"/>
      <c r="KNC224" s="862"/>
      <c r="KND224" s="862"/>
      <c r="KNE224" s="862"/>
      <c r="KNF224" s="863"/>
      <c r="KNG224" s="861"/>
      <c r="KNH224" s="862"/>
      <c r="KNI224" s="862"/>
      <c r="KNJ224" s="862"/>
      <c r="KNK224" s="862"/>
      <c r="KNL224" s="863"/>
      <c r="KNM224" s="861"/>
      <c r="KNN224" s="862"/>
      <c r="KNO224" s="862"/>
      <c r="KNP224" s="862"/>
      <c r="KNQ224" s="862"/>
      <c r="KNR224" s="863"/>
      <c r="KNS224" s="861"/>
      <c r="KNT224" s="862"/>
      <c r="KNU224" s="862"/>
      <c r="KNV224" s="862"/>
      <c r="KNW224" s="862"/>
      <c r="KNX224" s="863"/>
      <c r="KNY224" s="861"/>
      <c r="KNZ224" s="862"/>
      <c r="KOA224" s="862"/>
      <c r="KOB224" s="862"/>
      <c r="KOC224" s="862"/>
      <c r="KOD224" s="863"/>
      <c r="KOE224" s="861"/>
      <c r="KOF224" s="862"/>
      <c r="KOG224" s="862"/>
      <c r="KOH224" s="862"/>
      <c r="KOI224" s="862"/>
      <c r="KOJ224" s="863"/>
      <c r="KOK224" s="861"/>
      <c r="KOL224" s="862"/>
      <c r="KOM224" s="862"/>
      <c r="KON224" s="862"/>
      <c r="KOO224" s="862"/>
      <c r="KOP224" s="863"/>
      <c r="KOQ224" s="861"/>
      <c r="KOR224" s="862"/>
      <c r="KOS224" s="862"/>
      <c r="KOT224" s="862"/>
      <c r="KOU224" s="862"/>
      <c r="KOV224" s="863"/>
      <c r="KOW224" s="861"/>
      <c r="KOX224" s="862"/>
      <c r="KOY224" s="862"/>
      <c r="KOZ224" s="862"/>
      <c r="KPA224" s="862"/>
      <c r="KPB224" s="863"/>
      <c r="KPC224" s="861"/>
      <c r="KPD224" s="862"/>
      <c r="KPE224" s="862"/>
      <c r="KPF224" s="862"/>
      <c r="KPG224" s="862"/>
      <c r="KPH224" s="863"/>
      <c r="KPI224" s="861"/>
      <c r="KPJ224" s="862"/>
      <c r="KPK224" s="862"/>
      <c r="KPL224" s="862"/>
      <c r="KPM224" s="862"/>
      <c r="KPN224" s="863"/>
      <c r="KPO224" s="861"/>
      <c r="KPP224" s="862"/>
      <c r="KPQ224" s="862"/>
      <c r="KPR224" s="862"/>
      <c r="KPS224" s="862"/>
      <c r="KPT224" s="863"/>
      <c r="KPU224" s="861"/>
      <c r="KPV224" s="862"/>
      <c r="KPW224" s="862"/>
      <c r="KPX224" s="862"/>
      <c r="KPY224" s="862"/>
      <c r="KPZ224" s="863"/>
      <c r="KQA224" s="861"/>
      <c r="KQB224" s="862"/>
      <c r="KQC224" s="862"/>
      <c r="KQD224" s="862"/>
      <c r="KQE224" s="862"/>
      <c r="KQF224" s="863"/>
      <c r="KQG224" s="861"/>
      <c r="KQH224" s="862"/>
      <c r="KQI224" s="862"/>
      <c r="KQJ224" s="862"/>
      <c r="KQK224" s="862"/>
      <c r="KQL224" s="863"/>
      <c r="KQM224" s="861"/>
      <c r="KQN224" s="862"/>
      <c r="KQO224" s="862"/>
      <c r="KQP224" s="862"/>
      <c r="KQQ224" s="862"/>
      <c r="KQR224" s="863"/>
      <c r="KQS224" s="861"/>
      <c r="KQT224" s="862"/>
      <c r="KQU224" s="862"/>
      <c r="KQV224" s="862"/>
      <c r="KQW224" s="862"/>
      <c r="KQX224" s="863"/>
      <c r="KQY224" s="861"/>
      <c r="KQZ224" s="862"/>
      <c r="KRA224" s="862"/>
      <c r="KRB224" s="862"/>
      <c r="KRC224" s="862"/>
      <c r="KRD224" s="863"/>
      <c r="KRE224" s="861"/>
      <c r="KRF224" s="862"/>
      <c r="KRG224" s="862"/>
      <c r="KRH224" s="862"/>
      <c r="KRI224" s="862"/>
      <c r="KRJ224" s="863"/>
      <c r="KRK224" s="861"/>
      <c r="KRL224" s="862"/>
      <c r="KRM224" s="862"/>
      <c r="KRN224" s="862"/>
      <c r="KRO224" s="862"/>
      <c r="KRP224" s="863"/>
      <c r="KRQ224" s="861"/>
      <c r="KRR224" s="862"/>
      <c r="KRS224" s="862"/>
      <c r="KRT224" s="862"/>
      <c r="KRU224" s="862"/>
      <c r="KRV224" s="863"/>
      <c r="KRW224" s="861"/>
      <c r="KRX224" s="862"/>
      <c r="KRY224" s="862"/>
      <c r="KRZ224" s="862"/>
      <c r="KSA224" s="862"/>
      <c r="KSB224" s="863"/>
      <c r="KSC224" s="861"/>
      <c r="KSD224" s="862"/>
      <c r="KSE224" s="862"/>
      <c r="KSF224" s="862"/>
      <c r="KSG224" s="862"/>
      <c r="KSH224" s="863"/>
      <c r="KSI224" s="861"/>
      <c r="KSJ224" s="862"/>
      <c r="KSK224" s="862"/>
      <c r="KSL224" s="862"/>
      <c r="KSM224" s="862"/>
      <c r="KSN224" s="863"/>
      <c r="KSO224" s="861"/>
      <c r="KSP224" s="862"/>
      <c r="KSQ224" s="862"/>
      <c r="KSR224" s="862"/>
      <c r="KSS224" s="862"/>
      <c r="KST224" s="863"/>
      <c r="KSU224" s="861"/>
      <c r="KSV224" s="862"/>
      <c r="KSW224" s="862"/>
      <c r="KSX224" s="862"/>
      <c r="KSY224" s="862"/>
      <c r="KSZ224" s="863"/>
      <c r="KTA224" s="861"/>
      <c r="KTB224" s="862"/>
      <c r="KTC224" s="862"/>
      <c r="KTD224" s="862"/>
      <c r="KTE224" s="862"/>
      <c r="KTF224" s="863"/>
      <c r="KTG224" s="861"/>
      <c r="KTH224" s="862"/>
      <c r="KTI224" s="862"/>
      <c r="KTJ224" s="862"/>
      <c r="KTK224" s="862"/>
      <c r="KTL224" s="863"/>
      <c r="KTM224" s="861"/>
      <c r="KTN224" s="862"/>
      <c r="KTO224" s="862"/>
      <c r="KTP224" s="862"/>
      <c r="KTQ224" s="862"/>
      <c r="KTR224" s="863"/>
      <c r="KTS224" s="861"/>
      <c r="KTT224" s="862"/>
      <c r="KTU224" s="862"/>
      <c r="KTV224" s="862"/>
      <c r="KTW224" s="862"/>
      <c r="KTX224" s="863"/>
      <c r="KTY224" s="861"/>
      <c r="KTZ224" s="862"/>
      <c r="KUA224" s="862"/>
      <c r="KUB224" s="862"/>
      <c r="KUC224" s="862"/>
      <c r="KUD224" s="863"/>
      <c r="KUE224" s="861"/>
      <c r="KUF224" s="862"/>
      <c r="KUG224" s="862"/>
      <c r="KUH224" s="862"/>
      <c r="KUI224" s="862"/>
      <c r="KUJ224" s="863"/>
      <c r="KUK224" s="861"/>
      <c r="KUL224" s="862"/>
      <c r="KUM224" s="862"/>
      <c r="KUN224" s="862"/>
      <c r="KUO224" s="862"/>
      <c r="KUP224" s="863"/>
      <c r="KUQ224" s="861"/>
      <c r="KUR224" s="862"/>
      <c r="KUS224" s="862"/>
      <c r="KUT224" s="862"/>
      <c r="KUU224" s="862"/>
      <c r="KUV224" s="863"/>
      <c r="KUW224" s="861"/>
      <c r="KUX224" s="862"/>
      <c r="KUY224" s="862"/>
      <c r="KUZ224" s="862"/>
      <c r="KVA224" s="862"/>
      <c r="KVB224" s="863"/>
      <c r="KVC224" s="861"/>
      <c r="KVD224" s="862"/>
      <c r="KVE224" s="862"/>
      <c r="KVF224" s="862"/>
      <c r="KVG224" s="862"/>
      <c r="KVH224" s="863"/>
      <c r="KVI224" s="861"/>
      <c r="KVJ224" s="862"/>
      <c r="KVK224" s="862"/>
      <c r="KVL224" s="862"/>
      <c r="KVM224" s="862"/>
      <c r="KVN224" s="863"/>
      <c r="KVO224" s="861"/>
      <c r="KVP224" s="862"/>
      <c r="KVQ224" s="862"/>
      <c r="KVR224" s="862"/>
      <c r="KVS224" s="862"/>
      <c r="KVT224" s="863"/>
      <c r="KVU224" s="861"/>
      <c r="KVV224" s="862"/>
      <c r="KVW224" s="862"/>
      <c r="KVX224" s="862"/>
      <c r="KVY224" s="862"/>
      <c r="KVZ224" s="863"/>
      <c r="KWA224" s="861"/>
      <c r="KWB224" s="862"/>
      <c r="KWC224" s="862"/>
      <c r="KWD224" s="862"/>
      <c r="KWE224" s="862"/>
      <c r="KWF224" s="863"/>
      <c r="KWG224" s="861"/>
      <c r="KWH224" s="862"/>
      <c r="KWI224" s="862"/>
      <c r="KWJ224" s="862"/>
      <c r="KWK224" s="862"/>
      <c r="KWL224" s="863"/>
      <c r="KWM224" s="861"/>
      <c r="KWN224" s="862"/>
      <c r="KWO224" s="862"/>
      <c r="KWP224" s="862"/>
      <c r="KWQ224" s="862"/>
      <c r="KWR224" s="863"/>
      <c r="KWS224" s="861"/>
      <c r="KWT224" s="862"/>
      <c r="KWU224" s="862"/>
      <c r="KWV224" s="862"/>
      <c r="KWW224" s="862"/>
      <c r="KWX224" s="863"/>
      <c r="KWY224" s="861"/>
      <c r="KWZ224" s="862"/>
      <c r="KXA224" s="862"/>
      <c r="KXB224" s="862"/>
      <c r="KXC224" s="862"/>
      <c r="KXD224" s="863"/>
      <c r="KXE224" s="861"/>
      <c r="KXF224" s="862"/>
      <c r="KXG224" s="862"/>
      <c r="KXH224" s="862"/>
      <c r="KXI224" s="862"/>
      <c r="KXJ224" s="863"/>
      <c r="KXK224" s="861"/>
      <c r="KXL224" s="862"/>
      <c r="KXM224" s="862"/>
      <c r="KXN224" s="862"/>
      <c r="KXO224" s="862"/>
      <c r="KXP224" s="863"/>
      <c r="KXQ224" s="861"/>
      <c r="KXR224" s="862"/>
      <c r="KXS224" s="862"/>
      <c r="KXT224" s="862"/>
      <c r="KXU224" s="862"/>
      <c r="KXV224" s="863"/>
      <c r="KXW224" s="861"/>
      <c r="KXX224" s="862"/>
      <c r="KXY224" s="862"/>
      <c r="KXZ224" s="862"/>
      <c r="KYA224" s="862"/>
      <c r="KYB224" s="863"/>
      <c r="KYC224" s="861"/>
      <c r="KYD224" s="862"/>
      <c r="KYE224" s="862"/>
      <c r="KYF224" s="862"/>
      <c r="KYG224" s="862"/>
      <c r="KYH224" s="863"/>
      <c r="KYI224" s="861"/>
      <c r="KYJ224" s="862"/>
      <c r="KYK224" s="862"/>
      <c r="KYL224" s="862"/>
      <c r="KYM224" s="862"/>
      <c r="KYN224" s="863"/>
      <c r="KYO224" s="861"/>
      <c r="KYP224" s="862"/>
      <c r="KYQ224" s="862"/>
      <c r="KYR224" s="862"/>
      <c r="KYS224" s="862"/>
      <c r="KYT224" s="863"/>
      <c r="KYU224" s="861"/>
      <c r="KYV224" s="862"/>
      <c r="KYW224" s="862"/>
      <c r="KYX224" s="862"/>
      <c r="KYY224" s="862"/>
      <c r="KYZ224" s="863"/>
      <c r="KZA224" s="861"/>
      <c r="KZB224" s="862"/>
      <c r="KZC224" s="862"/>
      <c r="KZD224" s="862"/>
      <c r="KZE224" s="862"/>
      <c r="KZF224" s="863"/>
      <c r="KZG224" s="861"/>
      <c r="KZH224" s="862"/>
      <c r="KZI224" s="862"/>
      <c r="KZJ224" s="862"/>
      <c r="KZK224" s="862"/>
      <c r="KZL224" s="863"/>
      <c r="KZM224" s="861"/>
      <c r="KZN224" s="862"/>
      <c r="KZO224" s="862"/>
      <c r="KZP224" s="862"/>
      <c r="KZQ224" s="862"/>
      <c r="KZR224" s="863"/>
      <c r="KZS224" s="861"/>
      <c r="KZT224" s="862"/>
      <c r="KZU224" s="862"/>
      <c r="KZV224" s="862"/>
      <c r="KZW224" s="862"/>
      <c r="KZX224" s="863"/>
      <c r="KZY224" s="861"/>
      <c r="KZZ224" s="862"/>
      <c r="LAA224" s="862"/>
      <c r="LAB224" s="862"/>
      <c r="LAC224" s="862"/>
      <c r="LAD224" s="863"/>
      <c r="LAE224" s="861"/>
      <c r="LAF224" s="862"/>
      <c r="LAG224" s="862"/>
      <c r="LAH224" s="862"/>
      <c r="LAI224" s="862"/>
      <c r="LAJ224" s="863"/>
      <c r="LAK224" s="861"/>
      <c r="LAL224" s="862"/>
      <c r="LAM224" s="862"/>
      <c r="LAN224" s="862"/>
      <c r="LAO224" s="862"/>
      <c r="LAP224" s="863"/>
      <c r="LAQ224" s="861"/>
      <c r="LAR224" s="862"/>
      <c r="LAS224" s="862"/>
      <c r="LAT224" s="862"/>
      <c r="LAU224" s="862"/>
      <c r="LAV224" s="863"/>
      <c r="LAW224" s="861"/>
      <c r="LAX224" s="862"/>
      <c r="LAY224" s="862"/>
      <c r="LAZ224" s="862"/>
      <c r="LBA224" s="862"/>
      <c r="LBB224" s="863"/>
      <c r="LBC224" s="861"/>
      <c r="LBD224" s="862"/>
      <c r="LBE224" s="862"/>
      <c r="LBF224" s="862"/>
      <c r="LBG224" s="862"/>
      <c r="LBH224" s="863"/>
      <c r="LBI224" s="861"/>
      <c r="LBJ224" s="862"/>
      <c r="LBK224" s="862"/>
      <c r="LBL224" s="862"/>
      <c r="LBM224" s="862"/>
      <c r="LBN224" s="863"/>
      <c r="LBO224" s="861"/>
      <c r="LBP224" s="862"/>
      <c r="LBQ224" s="862"/>
      <c r="LBR224" s="862"/>
      <c r="LBS224" s="862"/>
      <c r="LBT224" s="863"/>
      <c r="LBU224" s="861"/>
      <c r="LBV224" s="862"/>
      <c r="LBW224" s="862"/>
      <c r="LBX224" s="862"/>
      <c r="LBY224" s="862"/>
      <c r="LBZ224" s="863"/>
      <c r="LCA224" s="861"/>
      <c r="LCB224" s="862"/>
      <c r="LCC224" s="862"/>
      <c r="LCD224" s="862"/>
      <c r="LCE224" s="862"/>
      <c r="LCF224" s="863"/>
      <c r="LCG224" s="861"/>
      <c r="LCH224" s="862"/>
      <c r="LCI224" s="862"/>
      <c r="LCJ224" s="862"/>
      <c r="LCK224" s="862"/>
      <c r="LCL224" s="863"/>
      <c r="LCM224" s="861"/>
      <c r="LCN224" s="862"/>
      <c r="LCO224" s="862"/>
      <c r="LCP224" s="862"/>
      <c r="LCQ224" s="862"/>
      <c r="LCR224" s="863"/>
      <c r="LCS224" s="861"/>
      <c r="LCT224" s="862"/>
      <c r="LCU224" s="862"/>
      <c r="LCV224" s="862"/>
      <c r="LCW224" s="862"/>
      <c r="LCX224" s="863"/>
      <c r="LCY224" s="861"/>
      <c r="LCZ224" s="862"/>
      <c r="LDA224" s="862"/>
      <c r="LDB224" s="862"/>
      <c r="LDC224" s="862"/>
      <c r="LDD224" s="863"/>
      <c r="LDE224" s="861"/>
      <c r="LDF224" s="862"/>
      <c r="LDG224" s="862"/>
      <c r="LDH224" s="862"/>
      <c r="LDI224" s="862"/>
      <c r="LDJ224" s="863"/>
      <c r="LDK224" s="861"/>
      <c r="LDL224" s="862"/>
      <c r="LDM224" s="862"/>
      <c r="LDN224" s="862"/>
      <c r="LDO224" s="862"/>
      <c r="LDP224" s="863"/>
      <c r="LDQ224" s="861"/>
      <c r="LDR224" s="862"/>
      <c r="LDS224" s="862"/>
      <c r="LDT224" s="862"/>
      <c r="LDU224" s="862"/>
      <c r="LDV224" s="863"/>
      <c r="LDW224" s="861"/>
      <c r="LDX224" s="862"/>
      <c r="LDY224" s="862"/>
      <c r="LDZ224" s="862"/>
      <c r="LEA224" s="862"/>
      <c r="LEB224" s="863"/>
      <c r="LEC224" s="861"/>
      <c r="LED224" s="862"/>
      <c r="LEE224" s="862"/>
      <c r="LEF224" s="862"/>
      <c r="LEG224" s="862"/>
      <c r="LEH224" s="863"/>
      <c r="LEI224" s="861"/>
      <c r="LEJ224" s="862"/>
      <c r="LEK224" s="862"/>
      <c r="LEL224" s="862"/>
      <c r="LEM224" s="862"/>
      <c r="LEN224" s="863"/>
      <c r="LEO224" s="861"/>
      <c r="LEP224" s="862"/>
      <c r="LEQ224" s="862"/>
      <c r="LER224" s="862"/>
      <c r="LES224" s="862"/>
      <c r="LET224" s="863"/>
      <c r="LEU224" s="861"/>
      <c r="LEV224" s="862"/>
      <c r="LEW224" s="862"/>
      <c r="LEX224" s="862"/>
      <c r="LEY224" s="862"/>
      <c r="LEZ224" s="863"/>
      <c r="LFA224" s="861"/>
      <c r="LFB224" s="862"/>
      <c r="LFC224" s="862"/>
      <c r="LFD224" s="862"/>
      <c r="LFE224" s="862"/>
      <c r="LFF224" s="863"/>
      <c r="LFG224" s="861"/>
      <c r="LFH224" s="862"/>
      <c r="LFI224" s="862"/>
      <c r="LFJ224" s="862"/>
      <c r="LFK224" s="862"/>
      <c r="LFL224" s="863"/>
      <c r="LFM224" s="861"/>
      <c r="LFN224" s="862"/>
      <c r="LFO224" s="862"/>
      <c r="LFP224" s="862"/>
      <c r="LFQ224" s="862"/>
      <c r="LFR224" s="863"/>
      <c r="LFS224" s="861"/>
      <c r="LFT224" s="862"/>
      <c r="LFU224" s="862"/>
      <c r="LFV224" s="862"/>
      <c r="LFW224" s="862"/>
      <c r="LFX224" s="863"/>
      <c r="LFY224" s="861"/>
      <c r="LFZ224" s="862"/>
      <c r="LGA224" s="862"/>
      <c r="LGB224" s="862"/>
      <c r="LGC224" s="862"/>
      <c r="LGD224" s="863"/>
      <c r="LGE224" s="861"/>
      <c r="LGF224" s="862"/>
      <c r="LGG224" s="862"/>
      <c r="LGH224" s="862"/>
      <c r="LGI224" s="862"/>
      <c r="LGJ224" s="863"/>
      <c r="LGK224" s="861"/>
      <c r="LGL224" s="862"/>
      <c r="LGM224" s="862"/>
      <c r="LGN224" s="862"/>
      <c r="LGO224" s="862"/>
      <c r="LGP224" s="863"/>
      <c r="LGQ224" s="861"/>
      <c r="LGR224" s="862"/>
      <c r="LGS224" s="862"/>
      <c r="LGT224" s="862"/>
      <c r="LGU224" s="862"/>
      <c r="LGV224" s="863"/>
      <c r="LGW224" s="861"/>
      <c r="LGX224" s="862"/>
      <c r="LGY224" s="862"/>
      <c r="LGZ224" s="862"/>
      <c r="LHA224" s="862"/>
      <c r="LHB224" s="863"/>
      <c r="LHC224" s="861"/>
      <c r="LHD224" s="862"/>
      <c r="LHE224" s="862"/>
      <c r="LHF224" s="862"/>
      <c r="LHG224" s="862"/>
      <c r="LHH224" s="863"/>
      <c r="LHI224" s="861"/>
      <c r="LHJ224" s="862"/>
      <c r="LHK224" s="862"/>
      <c r="LHL224" s="862"/>
      <c r="LHM224" s="862"/>
      <c r="LHN224" s="863"/>
      <c r="LHO224" s="861"/>
      <c r="LHP224" s="862"/>
      <c r="LHQ224" s="862"/>
      <c r="LHR224" s="862"/>
      <c r="LHS224" s="862"/>
      <c r="LHT224" s="863"/>
      <c r="LHU224" s="861"/>
      <c r="LHV224" s="862"/>
      <c r="LHW224" s="862"/>
      <c r="LHX224" s="862"/>
      <c r="LHY224" s="862"/>
      <c r="LHZ224" s="863"/>
      <c r="LIA224" s="861"/>
      <c r="LIB224" s="862"/>
      <c r="LIC224" s="862"/>
      <c r="LID224" s="862"/>
      <c r="LIE224" s="862"/>
      <c r="LIF224" s="863"/>
      <c r="LIG224" s="861"/>
      <c r="LIH224" s="862"/>
      <c r="LII224" s="862"/>
      <c r="LIJ224" s="862"/>
      <c r="LIK224" s="862"/>
      <c r="LIL224" s="863"/>
      <c r="LIM224" s="861"/>
      <c r="LIN224" s="862"/>
      <c r="LIO224" s="862"/>
      <c r="LIP224" s="862"/>
      <c r="LIQ224" s="862"/>
      <c r="LIR224" s="863"/>
      <c r="LIS224" s="861"/>
      <c r="LIT224" s="862"/>
      <c r="LIU224" s="862"/>
      <c r="LIV224" s="862"/>
      <c r="LIW224" s="862"/>
      <c r="LIX224" s="863"/>
      <c r="LIY224" s="861"/>
      <c r="LIZ224" s="862"/>
      <c r="LJA224" s="862"/>
      <c r="LJB224" s="862"/>
      <c r="LJC224" s="862"/>
      <c r="LJD224" s="863"/>
      <c r="LJE224" s="861"/>
      <c r="LJF224" s="862"/>
      <c r="LJG224" s="862"/>
      <c r="LJH224" s="862"/>
      <c r="LJI224" s="862"/>
      <c r="LJJ224" s="863"/>
      <c r="LJK224" s="861"/>
      <c r="LJL224" s="862"/>
      <c r="LJM224" s="862"/>
      <c r="LJN224" s="862"/>
      <c r="LJO224" s="862"/>
      <c r="LJP224" s="863"/>
      <c r="LJQ224" s="861"/>
      <c r="LJR224" s="862"/>
      <c r="LJS224" s="862"/>
      <c r="LJT224" s="862"/>
      <c r="LJU224" s="862"/>
      <c r="LJV224" s="863"/>
      <c r="LJW224" s="861"/>
      <c r="LJX224" s="862"/>
      <c r="LJY224" s="862"/>
      <c r="LJZ224" s="862"/>
      <c r="LKA224" s="862"/>
      <c r="LKB224" s="863"/>
      <c r="LKC224" s="861"/>
      <c r="LKD224" s="862"/>
      <c r="LKE224" s="862"/>
      <c r="LKF224" s="862"/>
      <c r="LKG224" s="862"/>
      <c r="LKH224" s="863"/>
      <c r="LKI224" s="861"/>
      <c r="LKJ224" s="862"/>
      <c r="LKK224" s="862"/>
      <c r="LKL224" s="862"/>
      <c r="LKM224" s="862"/>
      <c r="LKN224" s="863"/>
      <c r="LKO224" s="861"/>
      <c r="LKP224" s="862"/>
      <c r="LKQ224" s="862"/>
      <c r="LKR224" s="862"/>
      <c r="LKS224" s="862"/>
      <c r="LKT224" s="863"/>
      <c r="LKU224" s="861"/>
      <c r="LKV224" s="862"/>
      <c r="LKW224" s="862"/>
      <c r="LKX224" s="862"/>
      <c r="LKY224" s="862"/>
      <c r="LKZ224" s="863"/>
      <c r="LLA224" s="861"/>
      <c r="LLB224" s="862"/>
      <c r="LLC224" s="862"/>
      <c r="LLD224" s="862"/>
      <c r="LLE224" s="862"/>
      <c r="LLF224" s="863"/>
      <c r="LLG224" s="861"/>
      <c r="LLH224" s="862"/>
      <c r="LLI224" s="862"/>
      <c r="LLJ224" s="862"/>
      <c r="LLK224" s="862"/>
      <c r="LLL224" s="863"/>
      <c r="LLM224" s="861"/>
      <c r="LLN224" s="862"/>
      <c r="LLO224" s="862"/>
      <c r="LLP224" s="862"/>
      <c r="LLQ224" s="862"/>
      <c r="LLR224" s="863"/>
      <c r="LLS224" s="861"/>
      <c r="LLT224" s="862"/>
      <c r="LLU224" s="862"/>
      <c r="LLV224" s="862"/>
      <c r="LLW224" s="862"/>
      <c r="LLX224" s="863"/>
      <c r="LLY224" s="861"/>
      <c r="LLZ224" s="862"/>
      <c r="LMA224" s="862"/>
      <c r="LMB224" s="862"/>
      <c r="LMC224" s="862"/>
      <c r="LMD224" s="863"/>
      <c r="LME224" s="861"/>
      <c r="LMF224" s="862"/>
      <c r="LMG224" s="862"/>
      <c r="LMH224" s="862"/>
      <c r="LMI224" s="862"/>
      <c r="LMJ224" s="863"/>
      <c r="LMK224" s="861"/>
      <c r="LML224" s="862"/>
      <c r="LMM224" s="862"/>
      <c r="LMN224" s="862"/>
      <c r="LMO224" s="862"/>
      <c r="LMP224" s="863"/>
      <c r="LMQ224" s="861"/>
      <c r="LMR224" s="862"/>
      <c r="LMS224" s="862"/>
      <c r="LMT224" s="862"/>
      <c r="LMU224" s="862"/>
      <c r="LMV224" s="863"/>
      <c r="LMW224" s="861"/>
      <c r="LMX224" s="862"/>
      <c r="LMY224" s="862"/>
      <c r="LMZ224" s="862"/>
      <c r="LNA224" s="862"/>
      <c r="LNB224" s="863"/>
      <c r="LNC224" s="861"/>
      <c r="LND224" s="862"/>
      <c r="LNE224" s="862"/>
      <c r="LNF224" s="862"/>
      <c r="LNG224" s="862"/>
      <c r="LNH224" s="863"/>
      <c r="LNI224" s="861"/>
      <c r="LNJ224" s="862"/>
      <c r="LNK224" s="862"/>
      <c r="LNL224" s="862"/>
      <c r="LNM224" s="862"/>
      <c r="LNN224" s="863"/>
      <c r="LNO224" s="861"/>
      <c r="LNP224" s="862"/>
      <c r="LNQ224" s="862"/>
      <c r="LNR224" s="862"/>
      <c r="LNS224" s="862"/>
      <c r="LNT224" s="863"/>
      <c r="LNU224" s="861"/>
      <c r="LNV224" s="862"/>
      <c r="LNW224" s="862"/>
      <c r="LNX224" s="862"/>
      <c r="LNY224" s="862"/>
      <c r="LNZ224" s="863"/>
      <c r="LOA224" s="861"/>
      <c r="LOB224" s="862"/>
      <c r="LOC224" s="862"/>
      <c r="LOD224" s="862"/>
      <c r="LOE224" s="862"/>
      <c r="LOF224" s="863"/>
      <c r="LOG224" s="861"/>
      <c r="LOH224" s="862"/>
      <c r="LOI224" s="862"/>
      <c r="LOJ224" s="862"/>
      <c r="LOK224" s="862"/>
      <c r="LOL224" s="863"/>
      <c r="LOM224" s="861"/>
      <c r="LON224" s="862"/>
      <c r="LOO224" s="862"/>
      <c r="LOP224" s="862"/>
      <c r="LOQ224" s="862"/>
      <c r="LOR224" s="863"/>
      <c r="LOS224" s="861"/>
      <c r="LOT224" s="862"/>
      <c r="LOU224" s="862"/>
      <c r="LOV224" s="862"/>
      <c r="LOW224" s="862"/>
      <c r="LOX224" s="863"/>
      <c r="LOY224" s="861"/>
      <c r="LOZ224" s="862"/>
      <c r="LPA224" s="862"/>
      <c r="LPB224" s="862"/>
      <c r="LPC224" s="862"/>
      <c r="LPD224" s="863"/>
      <c r="LPE224" s="861"/>
      <c r="LPF224" s="862"/>
      <c r="LPG224" s="862"/>
      <c r="LPH224" s="862"/>
      <c r="LPI224" s="862"/>
      <c r="LPJ224" s="863"/>
      <c r="LPK224" s="861"/>
      <c r="LPL224" s="862"/>
      <c r="LPM224" s="862"/>
      <c r="LPN224" s="862"/>
      <c r="LPO224" s="862"/>
      <c r="LPP224" s="863"/>
      <c r="LPQ224" s="861"/>
      <c r="LPR224" s="862"/>
      <c r="LPS224" s="862"/>
      <c r="LPT224" s="862"/>
      <c r="LPU224" s="862"/>
      <c r="LPV224" s="863"/>
      <c r="LPW224" s="861"/>
      <c r="LPX224" s="862"/>
      <c r="LPY224" s="862"/>
      <c r="LPZ224" s="862"/>
      <c r="LQA224" s="862"/>
      <c r="LQB224" s="863"/>
      <c r="LQC224" s="861"/>
      <c r="LQD224" s="862"/>
      <c r="LQE224" s="862"/>
      <c r="LQF224" s="862"/>
      <c r="LQG224" s="862"/>
      <c r="LQH224" s="863"/>
      <c r="LQI224" s="861"/>
      <c r="LQJ224" s="862"/>
      <c r="LQK224" s="862"/>
      <c r="LQL224" s="862"/>
      <c r="LQM224" s="862"/>
      <c r="LQN224" s="863"/>
      <c r="LQO224" s="861"/>
      <c r="LQP224" s="862"/>
      <c r="LQQ224" s="862"/>
      <c r="LQR224" s="862"/>
      <c r="LQS224" s="862"/>
      <c r="LQT224" s="863"/>
      <c r="LQU224" s="861"/>
      <c r="LQV224" s="862"/>
      <c r="LQW224" s="862"/>
      <c r="LQX224" s="862"/>
      <c r="LQY224" s="862"/>
      <c r="LQZ224" s="863"/>
      <c r="LRA224" s="861"/>
      <c r="LRB224" s="862"/>
      <c r="LRC224" s="862"/>
      <c r="LRD224" s="862"/>
      <c r="LRE224" s="862"/>
      <c r="LRF224" s="863"/>
      <c r="LRG224" s="861"/>
      <c r="LRH224" s="862"/>
      <c r="LRI224" s="862"/>
      <c r="LRJ224" s="862"/>
      <c r="LRK224" s="862"/>
      <c r="LRL224" s="863"/>
      <c r="LRM224" s="861"/>
      <c r="LRN224" s="862"/>
      <c r="LRO224" s="862"/>
      <c r="LRP224" s="862"/>
      <c r="LRQ224" s="862"/>
      <c r="LRR224" s="863"/>
      <c r="LRS224" s="861"/>
      <c r="LRT224" s="862"/>
      <c r="LRU224" s="862"/>
      <c r="LRV224" s="862"/>
      <c r="LRW224" s="862"/>
      <c r="LRX224" s="863"/>
      <c r="LRY224" s="861"/>
      <c r="LRZ224" s="862"/>
      <c r="LSA224" s="862"/>
      <c r="LSB224" s="862"/>
      <c r="LSC224" s="862"/>
      <c r="LSD224" s="863"/>
      <c r="LSE224" s="861"/>
      <c r="LSF224" s="862"/>
      <c r="LSG224" s="862"/>
      <c r="LSH224" s="862"/>
      <c r="LSI224" s="862"/>
      <c r="LSJ224" s="863"/>
      <c r="LSK224" s="861"/>
      <c r="LSL224" s="862"/>
      <c r="LSM224" s="862"/>
      <c r="LSN224" s="862"/>
      <c r="LSO224" s="862"/>
      <c r="LSP224" s="863"/>
      <c r="LSQ224" s="861"/>
      <c r="LSR224" s="862"/>
      <c r="LSS224" s="862"/>
      <c r="LST224" s="862"/>
      <c r="LSU224" s="862"/>
      <c r="LSV224" s="863"/>
      <c r="LSW224" s="861"/>
      <c r="LSX224" s="862"/>
      <c r="LSY224" s="862"/>
      <c r="LSZ224" s="862"/>
      <c r="LTA224" s="862"/>
      <c r="LTB224" s="863"/>
      <c r="LTC224" s="861"/>
      <c r="LTD224" s="862"/>
      <c r="LTE224" s="862"/>
      <c r="LTF224" s="862"/>
      <c r="LTG224" s="862"/>
      <c r="LTH224" s="863"/>
      <c r="LTI224" s="861"/>
      <c r="LTJ224" s="862"/>
      <c r="LTK224" s="862"/>
      <c r="LTL224" s="862"/>
      <c r="LTM224" s="862"/>
      <c r="LTN224" s="863"/>
      <c r="LTO224" s="861"/>
      <c r="LTP224" s="862"/>
      <c r="LTQ224" s="862"/>
      <c r="LTR224" s="862"/>
      <c r="LTS224" s="862"/>
      <c r="LTT224" s="863"/>
      <c r="LTU224" s="861"/>
      <c r="LTV224" s="862"/>
      <c r="LTW224" s="862"/>
      <c r="LTX224" s="862"/>
      <c r="LTY224" s="862"/>
      <c r="LTZ224" s="863"/>
      <c r="LUA224" s="861"/>
      <c r="LUB224" s="862"/>
      <c r="LUC224" s="862"/>
      <c r="LUD224" s="862"/>
      <c r="LUE224" s="862"/>
      <c r="LUF224" s="863"/>
      <c r="LUG224" s="861"/>
      <c r="LUH224" s="862"/>
      <c r="LUI224" s="862"/>
      <c r="LUJ224" s="862"/>
      <c r="LUK224" s="862"/>
      <c r="LUL224" s="863"/>
      <c r="LUM224" s="861"/>
      <c r="LUN224" s="862"/>
      <c r="LUO224" s="862"/>
      <c r="LUP224" s="862"/>
      <c r="LUQ224" s="862"/>
      <c r="LUR224" s="863"/>
      <c r="LUS224" s="861"/>
      <c r="LUT224" s="862"/>
      <c r="LUU224" s="862"/>
      <c r="LUV224" s="862"/>
      <c r="LUW224" s="862"/>
      <c r="LUX224" s="863"/>
      <c r="LUY224" s="861"/>
      <c r="LUZ224" s="862"/>
      <c r="LVA224" s="862"/>
      <c r="LVB224" s="862"/>
      <c r="LVC224" s="862"/>
      <c r="LVD224" s="863"/>
      <c r="LVE224" s="861"/>
      <c r="LVF224" s="862"/>
      <c r="LVG224" s="862"/>
      <c r="LVH224" s="862"/>
      <c r="LVI224" s="862"/>
      <c r="LVJ224" s="863"/>
      <c r="LVK224" s="861"/>
      <c r="LVL224" s="862"/>
      <c r="LVM224" s="862"/>
      <c r="LVN224" s="862"/>
      <c r="LVO224" s="862"/>
      <c r="LVP224" s="863"/>
      <c r="LVQ224" s="861"/>
      <c r="LVR224" s="862"/>
      <c r="LVS224" s="862"/>
      <c r="LVT224" s="862"/>
      <c r="LVU224" s="862"/>
      <c r="LVV224" s="863"/>
      <c r="LVW224" s="861"/>
      <c r="LVX224" s="862"/>
      <c r="LVY224" s="862"/>
      <c r="LVZ224" s="862"/>
      <c r="LWA224" s="862"/>
      <c r="LWB224" s="863"/>
      <c r="LWC224" s="861"/>
      <c r="LWD224" s="862"/>
      <c r="LWE224" s="862"/>
      <c r="LWF224" s="862"/>
      <c r="LWG224" s="862"/>
      <c r="LWH224" s="863"/>
      <c r="LWI224" s="861"/>
      <c r="LWJ224" s="862"/>
      <c r="LWK224" s="862"/>
      <c r="LWL224" s="862"/>
      <c r="LWM224" s="862"/>
      <c r="LWN224" s="863"/>
      <c r="LWO224" s="861"/>
      <c r="LWP224" s="862"/>
      <c r="LWQ224" s="862"/>
      <c r="LWR224" s="862"/>
      <c r="LWS224" s="862"/>
      <c r="LWT224" s="863"/>
      <c r="LWU224" s="861"/>
      <c r="LWV224" s="862"/>
      <c r="LWW224" s="862"/>
      <c r="LWX224" s="862"/>
      <c r="LWY224" s="862"/>
      <c r="LWZ224" s="863"/>
      <c r="LXA224" s="861"/>
      <c r="LXB224" s="862"/>
      <c r="LXC224" s="862"/>
      <c r="LXD224" s="862"/>
      <c r="LXE224" s="862"/>
      <c r="LXF224" s="863"/>
      <c r="LXG224" s="861"/>
      <c r="LXH224" s="862"/>
      <c r="LXI224" s="862"/>
      <c r="LXJ224" s="862"/>
      <c r="LXK224" s="862"/>
      <c r="LXL224" s="863"/>
      <c r="LXM224" s="861"/>
      <c r="LXN224" s="862"/>
      <c r="LXO224" s="862"/>
      <c r="LXP224" s="862"/>
      <c r="LXQ224" s="862"/>
      <c r="LXR224" s="863"/>
      <c r="LXS224" s="861"/>
      <c r="LXT224" s="862"/>
      <c r="LXU224" s="862"/>
      <c r="LXV224" s="862"/>
      <c r="LXW224" s="862"/>
      <c r="LXX224" s="863"/>
      <c r="LXY224" s="861"/>
      <c r="LXZ224" s="862"/>
      <c r="LYA224" s="862"/>
      <c r="LYB224" s="862"/>
      <c r="LYC224" s="862"/>
      <c r="LYD224" s="863"/>
      <c r="LYE224" s="861"/>
      <c r="LYF224" s="862"/>
      <c r="LYG224" s="862"/>
      <c r="LYH224" s="862"/>
      <c r="LYI224" s="862"/>
      <c r="LYJ224" s="863"/>
      <c r="LYK224" s="861"/>
      <c r="LYL224" s="862"/>
      <c r="LYM224" s="862"/>
      <c r="LYN224" s="862"/>
      <c r="LYO224" s="862"/>
      <c r="LYP224" s="863"/>
      <c r="LYQ224" s="861"/>
      <c r="LYR224" s="862"/>
      <c r="LYS224" s="862"/>
      <c r="LYT224" s="862"/>
      <c r="LYU224" s="862"/>
      <c r="LYV224" s="863"/>
      <c r="LYW224" s="861"/>
      <c r="LYX224" s="862"/>
      <c r="LYY224" s="862"/>
      <c r="LYZ224" s="862"/>
      <c r="LZA224" s="862"/>
      <c r="LZB224" s="863"/>
      <c r="LZC224" s="861"/>
      <c r="LZD224" s="862"/>
      <c r="LZE224" s="862"/>
      <c r="LZF224" s="862"/>
      <c r="LZG224" s="862"/>
      <c r="LZH224" s="863"/>
      <c r="LZI224" s="861"/>
      <c r="LZJ224" s="862"/>
      <c r="LZK224" s="862"/>
      <c r="LZL224" s="862"/>
      <c r="LZM224" s="862"/>
      <c r="LZN224" s="863"/>
      <c r="LZO224" s="861"/>
      <c r="LZP224" s="862"/>
      <c r="LZQ224" s="862"/>
      <c r="LZR224" s="862"/>
      <c r="LZS224" s="862"/>
      <c r="LZT224" s="863"/>
      <c r="LZU224" s="861"/>
      <c r="LZV224" s="862"/>
      <c r="LZW224" s="862"/>
      <c r="LZX224" s="862"/>
      <c r="LZY224" s="862"/>
      <c r="LZZ224" s="863"/>
      <c r="MAA224" s="861"/>
      <c r="MAB224" s="862"/>
      <c r="MAC224" s="862"/>
      <c r="MAD224" s="862"/>
      <c r="MAE224" s="862"/>
      <c r="MAF224" s="863"/>
      <c r="MAG224" s="861"/>
      <c r="MAH224" s="862"/>
      <c r="MAI224" s="862"/>
      <c r="MAJ224" s="862"/>
      <c r="MAK224" s="862"/>
      <c r="MAL224" s="863"/>
      <c r="MAM224" s="861"/>
      <c r="MAN224" s="862"/>
      <c r="MAO224" s="862"/>
      <c r="MAP224" s="862"/>
      <c r="MAQ224" s="862"/>
      <c r="MAR224" s="863"/>
      <c r="MAS224" s="861"/>
      <c r="MAT224" s="862"/>
      <c r="MAU224" s="862"/>
      <c r="MAV224" s="862"/>
      <c r="MAW224" s="862"/>
      <c r="MAX224" s="863"/>
      <c r="MAY224" s="861"/>
      <c r="MAZ224" s="862"/>
      <c r="MBA224" s="862"/>
      <c r="MBB224" s="862"/>
      <c r="MBC224" s="862"/>
      <c r="MBD224" s="863"/>
      <c r="MBE224" s="861"/>
      <c r="MBF224" s="862"/>
      <c r="MBG224" s="862"/>
      <c r="MBH224" s="862"/>
      <c r="MBI224" s="862"/>
      <c r="MBJ224" s="863"/>
      <c r="MBK224" s="861"/>
      <c r="MBL224" s="862"/>
      <c r="MBM224" s="862"/>
      <c r="MBN224" s="862"/>
      <c r="MBO224" s="862"/>
      <c r="MBP224" s="863"/>
      <c r="MBQ224" s="861"/>
      <c r="MBR224" s="862"/>
      <c r="MBS224" s="862"/>
      <c r="MBT224" s="862"/>
      <c r="MBU224" s="862"/>
      <c r="MBV224" s="863"/>
      <c r="MBW224" s="861"/>
      <c r="MBX224" s="862"/>
      <c r="MBY224" s="862"/>
      <c r="MBZ224" s="862"/>
      <c r="MCA224" s="862"/>
      <c r="MCB224" s="863"/>
      <c r="MCC224" s="861"/>
      <c r="MCD224" s="862"/>
      <c r="MCE224" s="862"/>
      <c r="MCF224" s="862"/>
      <c r="MCG224" s="862"/>
      <c r="MCH224" s="863"/>
      <c r="MCI224" s="861"/>
      <c r="MCJ224" s="862"/>
      <c r="MCK224" s="862"/>
      <c r="MCL224" s="862"/>
      <c r="MCM224" s="862"/>
      <c r="MCN224" s="863"/>
      <c r="MCO224" s="861"/>
      <c r="MCP224" s="862"/>
      <c r="MCQ224" s="862"/>
      <c r="MCR224" s="862"/>
      <c r="MCS224" s="862"/>
      <c r="MCT224" s="863"/>
      <c r="MCU224" s="861"/>
      <c r="MCV224" s="862"/>
      <c r="MCW224" s="862"/>
      <c r="MCX224" s="862"/>
      <c r="MCY224" s="862"/>
      <c r="MCZ224" s="863"/>
      <c r="MDA224" s="861"/>
      <c r="MDB224" s="862"/>
      <c r="MDC224" s="862"/>
      <c r="MDD224" s="862"/>
      <c r="MDE224" s="862"/>
      <c r="MDF224" s="863"/>
      <c r="MDG224" s="861"/>
      <c r="MDH224" s="862"/>
      <c r="MDI224" s="862"/>
      <c r="MDJ224" s="862"/>
      <c r="MDK224" s="862"/>
      <c r="MDL224" s="863"/>
      <c r="MDM224" s="861"/>
      <c r="MDN224" s="862"/>
      <c r="MDO224" s="862"/>
      <c r="MDP224" s="862"/>
      <c r="MDQ224" s="862"/>
      <c r="MDR224" s="863"/>
      <c r="MDS224" s="861"/>
      <c r="MDT224" s="862"/>
      <c r="MDU224" s="862"/>
      <c r="MDV224" s="862"/>
      <c r="MDW224" s="862"/>
      <c r="MDX224" s="863"/>
      <c r="MDY224" s="861"/>
      <c r="MDZ224" s="862"/>
      <c r="MEA224" s="862"/>
      <c r="MEB224" s="862"/>
      <c r="MEC224" s="862"/>
      <c r="MED224" s="863"/>
      <c r="MEE224" s="861"/>
      <c r="MEF224" s="862"/>
      <c r="MEG224" s="862"/>
      <c r="MEH224" s="862"/>
      <c r="MEI224" s="862"/>
      <c r="MEJ224" s="863"/>
      <c r="MEK224" s="861"/>
      <c r="MEL224" s="862"/>
      <c r="MEM224" s="862"/>
      <c r="MEN224" s="862"/>
      <c r="MEO224" s="862"/>
      <c r="MEP224" s="863"/>
      <c r="MEQ224" s="861"/>
      <c r="MER224" s="862"/>
      <c r="MES224" s="862"/>
      <c r="MET224" s="862"/>
      <c r="MEU224" s="862"/>
      <c r="MEV224" s="863"/>
      <c r="MEW224" s="861"/>
      <c r="MEX224" s="862"/>
      <c r="MEY224" s="862"/>
      <c r="MEZ224" s="862"/>
      <c r="MFA224" s="862"/>
      <c r="MFB224" s="863"/>
      <c r="MFC224" s="861"/>
      <c r="MFD224" s="862"/>
      <c r="MFE224" s="862"/>
      <c r="MFF224" s="862"/>
      <c r="MFG224" s="862"/>
      <c r="MFH224" s="863"/>
      <c r="MFI224" s="861"/>
      <c r="MFJ224" s="862"/>
      <c r="MFK224" s="862"/>
      <c r="MFL224" s="862"/>
      <c r="MFM224" s="862"/>
      <c r="MFN224" s="863"/>
      <c r="MFO224" s="861"/>
      <c r="MFP224" s="862"/>
      <c r="MFQ224" s="862"/>
      <c r="MFR224" s="862"/>
      <c r="MFS224" s="862"/>
      <c r="MFT224" s="863"/>
      <c r="MFU224" s="861"/>
      <c r="MFV224" s="862"/>
      <c r="MFW224" s="862"/>
      <c r="MFX224" s="862"/>
      <c r="MFY224" s="862"/>
      <c r="MFZ224" s="863"/>
      <c r="MGA224" s="861"/>
      <c r="MGB224" s="862"/>
      <c r="MGC224" s="862"/>
      <c r="MGD224" s="862"/>
      <c r="MGE224" s="862"/>
      <c r="MGF224" s="863"/>
      <c r="MGG224" s="861"/>
      <c r="MGH224" s="862"/>
      <c r="MGI224" s="862"/>
      <c r="MGJ224" s="862"/>
      <c r="MGK224" s="862"/>
      <c r="MGL224" s="863"/>
      <c r="MGM224" s="861"/>
      <c r="MGN224" s="862"/>
      <c r="MGO224" s="862"/>
      <c r="MGP224" s="862"/>
      <c r="MGQ224" s="862"/>
      <c r="MGR224" s="863"/>
      <c r="MGS224" s="861"/>
      <c r="MGT224" s="862"/>
      <c r="MGU224" s="862"/>
      <c r="MGV224" s="862"/>
      <c r="MGW224" s="862"/>
      <c r="MGX224" s="863"/>
      <c r="MGY224" s="861"/>
      <c r="MGZ224" s="862"/>
      <c r="MHA224" s="862"/>
      <c r="MHB224" s="862"/>
      <c r="MHC224" s="862"/>
      <c r="MHD224" s="863"/>
      <c r="MHE224" s="861"/>
      <c r="MHF224" s="862"/>
      <c r="MHG224" s="862"/>
      <c r="MHH224" s="862"/>
      <c r="MHI224" s="862"/>
      <c r="MHJ224" s="863"/>
      <c r="MHK224" s="861"/>
      <c r="MHL224" s="862"/>
      <c r="MHM224" s="862"/>
      <c r="MHN224" s="862"/>
      <c r="MHO224" s="862"/>
      <c r="MHP224" s="863"/>
      <c r="MHQ224" s="861"/>
      <c r="MHR224" s="862"/>
      <c r="MHS224" s="862"/>
      <c r="MHT224" s="862"/>
      <c r="MHU224" s="862"/>
      <c r="MHV224" s="863"/>
      <c r="MHW224" s="861"/>
      <c r="MHX224" s="862"/>
      <c r="MHY224" s="862"/>
      <c r="MHZ224" s="862"/>
      <c r="MIA224" s="862"/>
      <c r="MIB224" s="863"/>
      <c r="MIC224" s="861"/>
      <c r="MID224" s="862"/>
      <c r="MIE224" s="862"/>
      <c r="MIF224" s="862"/>
      <c r="MIG224" s="862"/>
      <c r="MIH224" s="863"/>
      <c r="MII224" s="861"/>
      <c r="MIJ224" s="862"/>
      <c r="MIK224" s="862"/>
      <c r="MIL224" s="862"/>
      <c r="MIM224" s="862"/>
      <c r="MIN224" s="863"/>
      <c r="MIO224" s="861"/>
      <c r="MIP224" s="862"/>
      <c r="MIQ224" s="862"/>
      <c r="MIR224" s="862"/>
      <c r="MIS224" s="862"/>
      <c r="MIT224" s="863"/>
      <c r="MIU224" s="861"/>
      <c r="MIV224" s="862"/>
      <c r="MIW224" s="862"/>
      <c r="MIX224" s="862"/>
      <c r="MIY224" s="862"/>
      <c r="MIZ224" s="863"/>
      <c r="MJA224" s="861"/>
      <c r="MJB224" s="862"/>
      <c r="MJC224" s="862"/>
      <c r="MJD224" s="862"/>
      <c r="MJE224" s="862"/>
      <c r="MJF224" s="863"/>
      <c r="MJG224" s="861"/>
      <c r="MJH224" s="862"/>
      <c r="MJI224" s="862"/>
      <c r="MJJ224" s="862"/>
      <c r="MJK224" s="862"/>
      <c r="MJL224" s="863"/>
      <c r="MJM224" s="861"/>
      <c r="MJN224" s="862"/>
      <c r="MJO224" s="862"/>
      <c r="MJP224" s="862"/>
      <c r="MJQ224" s="862"/>
      <c r="MJR224" s="863"/>
      <c r="MJS224" s="861"/>
      <c r="MJT224" s="862"/>
      <c r="MJU224" s="862"/>
      <c r="MJV224" s="862"/>
      <c r="MJW224" s="862"/>
      <c r="MJX224" s="863"/>
      <c r="MJY224" s="861"/>
      <c r="MJZ224" s="862"/>
      <c r="MKA224" s="862"/>
      <c r="MKB224" s="862"/>
      <c r="MKC224" s="862"/>
      <c r="MKD224" s="863"/>
      <c r="MKE224" s="861"/>
      <c r="MKF224" s="862"/>
      <c r="MKG224" s="862"/>
      <c r="MKH224" s="862"/>
      <c r="MKI224" s="862"/>
      <c r="MKJ224" s="863"/>
      <c r="MKK224" s="861"/>
      <c r="MKL224" s="862"/>
      <c r="MKM224" s="862"/>
      <c r="MKN224" s="862"/>
      <c r="MKO224" s="862"/>
      <c r="MKP224" s="863"/>
      <c r="MKQ224" s="861"/>
      <c r="MKR224" s="862"/>
      <c r="MKS224" s="862"/>
      <c r="MKT224" s="862"/>
      <c r="MKU224" s="862"/>
      <c r="MKV224" s="863"/>
      <c r="MKW224" s="861"/>
      <c r="MKX224" s="862"/>
      <c r="MKY224" s="862"/>
      <c r="MKZ224" s="862"/>
      <c r="MLA224" s="862"/>
      <c r="MLB224" s="863"/>
      <c r="MLC224" s="861"/>
      <c r="MLD224" s="862"/>
      <c r="MLE224" s="862"/>
      <c r="MLF224" s="862"/>
      <c r="MLG224" s="862"/>
      <c r="MLH224" s="863"/>
      <c r="MLI224" s="861"/>
      <c r="MLJ224" s="862"/>
      <c r="MLK224" s="862"/>
      <c r="MLL224" s="862"/>
      <c r="MLM224" s="862"/>
      <c r="MLN224" s="863"/>
      <c r="MLO224" s="861"/>
      <c r="MLP224" s="862"/>
      <c r="MLQ224" s="862"/>
      <c r="MLR224" s="862"/>
      <c r="MLS224" s="862"/>
      <c r="MLT224" s="863"/>
      <c r="MLU224" s="861"/>
      <c r="MLV224" s="862"/>
      <c r="MLW224" s="862"/>
      <c r="MLX224" s="862"/>
      <c r="MLY224" s="862"/>
      <c r="MLZ224" s="863"/>
      <c r="MMA224" s="861"/>
      <c r="MMB224" s="862"/>
      <c r="MMC224" s="862"/>
      <c r="MMD224" s="862"/>
      <c r="MME224" s="862"/>
      <c r="MMF224" s="863"/>
      <c r="MMG224" s="861"/>
      <c r="MMH224" s="862"/>
      <c r="MMI224" s="862"/>
      <c r="MMJ224" s="862"/>
      <c r="MMK224" s="862"/>
      <c r="MML224" s="863"/>
      <c r="MMM224" s="861"/>
      <c r="MMN224" s="862"/>
      <c r="MMO224" s="862"/>
      <c r="MMP224" s="862"/>
      <c r="MMQ224" s="862"/>
      <c r="MMR224" s="863"/>
      <c r="MMS224" s="861"/>
      <c r="MMT224" s="862"/>
      <c r="MMU224" s="862"/>
      <c r="MMV224" s="862"/>
      <c r="MMW224" s="862"/>
      <c r="MMX224" s="863"/>
      <c r="MMY224" s="861"/>
      <c r="MMZ224" s="862"/>
      <c r="MNA224" s="862"/>
      <c r="MNB224" s="862"/>
      <c r="MNC224" s="862"/>
      <c r="MND224" s="863"/>
      <c r="MNE224" s="861"/>
      <c r="MNF224" s="862"/>
      <c r="MNG224" s="862"/>
      <c r="MNH224" s="862"/>
      <c r="MNI224" s="862"/>
      <c r="MNJ224" s="863"/>
      <c r="MNK224" s="861"/>
      <c r="MNL224" s="862"/>
      <c r="MNM224" s="862"/>
      <c r="MNN224" s="862"/>
      <c r="MNO224" s="862"/>
      <c r="MNP224" s="863"/>
      <c r="MNQ224" s="861"/>
      <c r="MNR224" s="862"/>
      <c r="MNS224" s="862"/>
      <c r="MNT224" s="862"/>
      <c r="MNU224" s="862"/>
      <c r="MNV224" s="863"/>
      <c r="MNW224" s="861"/>
      <c r="MNX224" s="862"/>
      <c r="MNY224" s="862"/>
      <c r="MNZ224" s="862"/>
      <c r="MOA224" s="862"/>
      <c r="MOB224" s="863"/>
      <c r="MOC224" s="861"/>
      <c r="MOD224" s="862"/>
      <c r="MOE224" s="862"/>
      <c r="MOF224" s="862"/>
      <c r="MOG224" s="862"/>
      <c r="MOH224" s="863"/>
      <c r="MOI224" s="861"/>
      <c r="MOJ224" s="862"/>
      <c r="MOK224" s="862"/>
      <c r="MOL224" s="862"/>
      <c r="MOM224" s="862"/>
      <c r="MON224" s="863"/>
      <c r="MOO224" s="861"/>
      <c r="MOP224" s="862"/>
      <c r="MOQ224" s="862"/>
      <c r="MOR224" s="862"/>
      <c r="MOS224" s="862"/>
      <c r="MOT224" s="863"/>
      <c r="MOU224" s="861"/>
      <c r="MOV224" s="862"/>
      <c r="MOW224" s="862"/>
      <c r="MOX224" s="862"/>
      <c r="MOY224" s="862"/>
      <c r="MOZ224" s="863"/>
      <c r="MPA224" s="861"/>
      <c r="MPB224" s="862"/>
      <c r="MPC224" s="862"/>
      <c r="MPD224" s="862"/>
      <c r="MPE224" s="862"/>
      <c r="MPF224" s="863"/>
      <c r="MPG224" s="861"/>
      <c r="MPH224" s="862"/>
      <c r="MPI224" s="862"/>
      <c r="MPJ224" s="862"/>
      <c r="MPK224" s="862"/>
      <c r="MPL224" s="863"/>
      <c r="MPM224" s="861"/>
      <c r="MPN224" s="862"/>
      <c r="MPO224" s="862"/>
      <c r="MPP224" s="862"/>
      <c r="MPQ224" s="862"/>
      <c r="MPR224" s="863"/>
      <c r="MPS224" s="861"/>
      <c r="MPT224" s="862"/>
      <c r="MPU224" s="862"/>
      <c r="MPV224" s="862"/>
      <c r="MPW224" s="862"/>
      <c r="MPX224" s="863"/>
      <c r="MPY224" s="861"/>
      <c r="MPZ224" s="862"/>
      <c r="MQA224" s="862"/>
      <c r="MQB224" s="862"/>
      <c r="MQC224" s="862"/>
      <c r="MQD224" s="863"/>
      <c r="MQE224" s="861"/>
      <c r="MQF224" s="862"/>
      <c r="MQG224" s="862"/>
      <c r="MQH224" s="862"/>
      <c r="MQI224" s="862"/>
      <c r="MQJ224" s="863"/>
      <c r="MQK224" s="861"/>
      <c r="MQL224" s="862"/>
      <c r="MQM224" s="862"/>
      <c r="MQN224" s="862"/>
      <c r="MQO224" s="862"/>
      <c r="MQP224" s="863"/>
      <c r="MQQ224" s="861"/>
      <c r="MQR224" s="862"/>
      <c r="MQS224" s="862"/>
      <c r="MQT224" s="862"/>
      <c r="MQU224" s="862"/>
      <c r="MQV224" s="863"/>
      <c r="MQW224" s="861"/>
      <c r="MQX224" s="862"/>
      <c r="MQY224" s="862"/>
      <c r="MQZ224" s="862"/>
      <c r="MRA224" s="862"/>
      <c r="MRB224" s="863"/>
      <c r="MRC224" s="861"/>
      <c r="MRD224" s="862"/>
      <c r="MRE224" s="862"/>
      <c r="MRF224" s="862"/>
      <c r="MRG224" s="862"/>
      <c r="MRH224" s="863"/>
      <c r="MRI224" s="861"/>
      <c r="MRJ224" s="862"/>
      <c r="MRK224" s="862"/>
      <c r="MRL224" s="862"/>
      <c r="MRM224" s="862"/>
      <c r="MRN224" s="863"/>
      <c r="MRO224" s="861"/>
      <c r="MRP224" s="862"/>
      <c r="MRQ224" s="862"/>
      <c r="MRR224" s="862"/>
      <c r="MRS224" s="862"/>
      <c r="MRT224" s="863"/>
      <c r="MRU224" s="861"/>
      <c r="MRV224" s="862"/>
      <c r="MRW224" s="862"/>
      <c r="MRX224" s="862"/>
      <c r="MRY224" s="862"/>
      <c r="MRZ224" s="863"/>
      <c r="MSA224" s="861"/>
      <c r="MSB224" s="862"/>
      <c r="MSC224" s="862"/>
      <c r="MSD224" s="862"/>
      <c r="MSE224" s="862"/>
      <c r="MSF224" s="863"/>
      <c r="MSG224" s="861"/>
      <c r="MSH224" s="862"/>
      <c r="MSI224" s="862"/>
      <c r="MSJ224" s="862"/>
      <c r="MSK224" s="862"/>
      <c r="MSL224" s="863"/>
      <c r="MSM224" s="861"/>
      <c r="MSN224" s="862"/>
      <c r="MSO224" s="862"/>
      <c r="MSP224" s="862"/>
      <c r="MSQ224" s="862"/>
      <c r="MSR224" s="863"/>
      <c r="MSS224" s="861"/>
      <c r="MST224" s="862"/>
      <c r="MSU224" s="862"/>
      <c r="MSV224" s="862"/>
      <c r="MSW224" s="862"/>
      <c r="MSX224" s="863"/>
      <c r="MSY224" s="861"/>
      <c r="MSZ224" s="862"/>
      <c r="MTA224" s="862"/>
      <c r="MTB224" s="862"/>
      <c r="MTC224" s="862"/>
      <c r="MTD224" s="863"/>
      <c r="MTE224" s="861"/>
      <c r="MTF224" s="862"/>
      <c r="MTG224" s="862"/>
      <c r="MTH224" s="862"/>
      <c r="MTI224" s="862"/>
      <c r="MTJ224" s="863"/>
      <c r="MTK224" s="861"/>
      <c r="MTL224" s="862"/>
      <c r="MTM224" s="862"/>
      <c r="MTN224" s="862"/>
      <c r="MTO224" s="862"/>
      <c r="MTP224" s="863"/>
      <c r="MTQ224" s="861"/>
      <c r="MTR224" s="862"/>
      <c r="MTS224" s="862"/>
      <c r="MTT224" s="862"/>
      <c r="MTU224" s="862"/>
      <c r="MTV224" s="863"/>
      <c r="MTW224" s="861"/>
      <c r="MTX224" s="862"/>
      <c r="MTY224" s="862"/>
      <c r="MTZ224" s="862"/>
      <c r="MUA224" s="862"/>
      <c r="MUB224" s="863"/>
      <c r="MUC224" s="861"/>
      <c r="MUD224" s="862"/>
      <c r="MUE224" s="862"/>
      <c r="MUF224" s="862"/>
      <c r="MUG224" s="862"/>
      <c r="MUH224" s="863"/>
      <c r="MUI224" s="861"/>
      <c r="MUJ224" s="862"/>
      <c r="MUK224" s="862"/>
      <c r="MUL224" s="862"/>
      <c r="MUM224" s="862"/>
      <c r="MUN224" s="863"/>
      <c r="MUO224" s="861"/>
      <c r="MUP224" s="862"/>
      <c r="MUQ224" s="862"/>
      <c r="MUR224" s="862"/>
      <c r="MUS224" s="862"/>
      <c r="MUT224" s="863"/>
      <c r="MUU224" s="861"/>
      <c r="MUV224" s="862"/>
      <c r="MUW224" s="862"/>
      <c r="MUX224" s="862"/>
      <c r="MUY224" s="862"/>
      <c r="MUZ224" s="863"/>
      <c r="MVA224" s="861"/>
      <c r="MVB224" s="862"/>
      <c r="MVC224" s="862"/>
      <c r="MVD224" s="862"/>
      <c r="MVE224" s="862"/>
      <c r="MVF224" s="863"/>
      <c r="MVG224" s="861"/>
      <c r="MVH224" s="862"/>
      <c r="MVI224" s="862"/>
      <c r="MVJ224" s="862"/>
      <c r="MVK224" s="862"/>
      <c r="MVL224" s="863"/>
      <c r="MVM224" s="861"/>
      <c r="MVN224" s="862"/>
      <c r="MVO224" s="862"/>
      <c r="MVP224" s="862"/>
      <c r="MVQ224" s="862"/>
      <c r="MVR224" s="863"/>
      <c r="MVS224" s="861"/>
      <c r="MVT224" s="862"/>
      <c r="MVU224" s="862"/>
      <c r="MVV224" s="862"/>
      <c r="MVW224" s="862"/>
      <c r="MVX224" s="863"/>
      <c r="MVY224" s="861"/>
      <c r="MVZ224" s="862"/>
      <c r="MWA224" s="862"/>
      <c r="MWB224" s="862"/>
      <c r="MWC224" s="862"/>
      <c r="MWD224" s="863"/>
      <c r="MWE224" s="861"/>
      <c r="MWF224" s="862"/>
      <c r="MWG224" s="862"/>
      <c r="MWH224" s="862"/>
      <c r="MWI224" s="862"/>
      <c r="MWJ224" s="863"/>
      <c r="MWK224" s="861"/>
      <c r="MWL224" s="862"/>
      <c r="MWM224" s="862"/>
      <c r="MWN224" s="862"/>
      <c r="MWO224" s="862"/>
      <c r="MWP224" s="863"/>
      <c r="MWQ224" s="861"/>
      <c r="MWR224" s="862"/>
      <c r="MWS224" s="862"/>
      <c r="MWT224" s="862"/>
      <c r="MWU224" s="862"/>
      <c r="MWV224" s="863"/>
      <c r="MWW224" s="861"/>
      <c r="MWX224" s="862"/>
      <c r="MWY224" s="862"/>
      <c r="MWZ224" s="862"/>
      <c r="MXA224" s="862"/>
      <c r="MXB224" s="863"/>
      <c r="MXC224" s="861"/>
      <c r="MXD224" s="862"/>
      <c r="MXE224" s="862"/>
      <c r="MXF224" s="862"/>
      <c r="MXG224" s="862"/>
      <c r="MXH224" s="863"/>
      <c r="MXI224" s="861"/>
      <c r="MXJ224" s="862"/>
      <c r="MXK224" s="862"/>
      <c r="MXL224" s="862"/>
      <c r="MXM224" s="862"/>
      <c r="MXN224" s="863"/>
      <c r="MXO224" s="861"/>
      <c r="MXP224" s="862"/>
      <c r="MXQ224" s="862"/>
      <c r="MXR224" s="862"/>
      <c r="MXS224" s="862"/>
      <c r="MXT224" s="863"/>
      <c r="MXU224" s="861"/>
      <c r="MXV224" s="862"/>
      <c r="MXW224" s="862"/>
      <c r="MXX224" s="862"/>
      <c r="MXY224" s="862"/>
      <c r="MXZ224" s="863"/>
      <c r="MYA224" s="861"/>
      <c r="MYB224" s="862"/>
      <c r="MYC224" s="862"/>
      <c r="MYD224" s="862"/>
      <c r="MYE224" s="862"/>
      <c r="MYF224" s="863"/>
      <c r="MYG224" s="861"/>
      <c r="MYH224" s="862"/>
      <c r="MYI224" s="862"/>
      <c r="MYJ224" s="862"/>
      <c r="MYK224" s="862"/>
      <c r="MYL224" s="863"/>
      <c r="MYM224" s="861"/>
      <c r="MYN224" s="862"/>
      <c r="MYO224" s="862"/>
      <c r="MYP224" s="862"/>
      <c r="MYQ224" s="862"/>
      <c r="MYR224" s="863"/>
      <c r="MYS224" s="861"/>
      <c r="MYT224" s="862"/>
      <c r="MYU224" s="862"/>
      <c r="MYV224" s="862"/>
      <c r="MYW224" s="862"/>
      <c r="MYX224" s="863"/>
      <c r="MYY224" s="861"/>
      <c r="MYZ224" s="862"/>
      <c r="MZA224" s="862"/>
      <c r="MZB224" s="862"/>
      <c r="MZC224" s="862"/>
      <c r="MZD224" s="863"/>
      <c r="MZE224" s="861"/>
      <c r="MZF224" s="862"/>
      <c r="MZG224" s="862"/>
      <c r="MZH224" s="862"/>
      <c r="MZI224" s="862"/>
      <c r="MZJ224" s="863"/>
      <c r="MZK224" s="861"/>
      <c r="MZL224" s="862"/>
      <c r="MZM224" s="862"/>
      <c r="MZN224" s="862"/>
      <c r="MZO224" s="862"/>
      <c r="MZP224" s="863"/>
      <c r="MZQ224" s="861"/>
      <c r="MZR224" s="862"/>
      <c r="MZS224" s="862"/>
      <c r="MZT224" s="862"/>
      <c r="MZU224" s="862"/>
      <c r="MZV224" s="863"/>
      <c r="MZW224" s="861"/>
      <c r="MZX224" s="862"/>
      <c r="MZY224" s="862"/>
      <c r="MZZ224" s="862"/>
      <c r="NAA224" s="862"/>
      <c r="NAB224" s="863"/>
      <c r="NAC224" s="861"/>
      <c r="NAD224" s="862"/>
      <c r="NAE224" s="862"/>
      <c r="NAF224" s="862"/>
      <c r="NAG224" s="862"/>
      <c r="NAH224" s="863"/>
      <c r="NAI224" s="861"/>
      <c r="NAJ224" s="862"/>
      <c r="NAK224" s="862"/>
      <c r="NAL224" s="862"/>
      <c r="NAM224" s="862"/>
      <c r="NAN224" s="863"/>
      <c r="NAO224" s="861"/>
      <c r="NAP224" s="862"/>
      <c r="NAQ224" s="862"/>
      <c r="NAR224" s="862"/>
      <c r="NAS224" s="862"/>
      <c r="NAT224" s="863"/>
      <c r="NAU224" s="861"/>
      <c r="NAV224" s="862"/>
      <c r="NAW224" s="862"/>
      <c r="NAX224" s="862"/>
      <c r="NAY224" s="862"/>
      <c r="NAZ224" s="863"/>
      <c r="NBA224" s="861"/>
      <c r="NBB224" s="862"/>
      <c r="NBC224" s="862"/>
      <c r="NBD224" s="862"/>
      <c r="NBE224" s="862"/>
      <c r="NBF224" s="863"/>
      <c r="NBG224" s="861"/>
      <c r="NBH224" s="862"/>
      <c r="NBI224" s="862"/>
      <c r="NBJ224" s="862"/>
      <c r="NBK224" s="862"/>
      <c r="NBL224" s="863"/>
      <c r="NBM224" s="861"/>
      <c r="NBN224" s="862"/>
      <c r="NBO224" s="862"/>
      <c r="NBP224" s="862"/>
      <c r="NBQ224" s="862"/>
      <c r="NBR224" s="863"/>
      <c r="NBS224" s="861"/>
      <c r="NBT224" s="862"/>
      <c r="NBU224" s="862"/>
      <c r="NBV224" s="862"/>
      <c r="NBW224" s="862"/>
      <c r="NBX224" s="863"/>
      <c r="NBY224" s="861"/>
      <c r="NBZ224" s="862"/>
      <c r="NCA224" s="862"/>
      <c r="NCB224" s="862"/>
      <c r="NCC224" s="862"/>
      <c r="NCD224" s="863"/>
      <c r="NCE224" s="861"/>
      <c r="NCF224" s="862"/>
      <c r="NCG224" s="862"/>
      <c r="NCH224" s="862"/>
      <c r="NCI224" s="862"/>
      <c r="NCJ224" s="863"/>
      <c r="NCK224" s="861"/>
      <c r="NCL224" s="862"/>
      <c r="NCM224" s="862"/>
      <c r="NCN224" s="862"/>
      <c r="NCO224" s="862"/>
      <c r="NCP224" s="863"/>
      <c r="NCQ224" s="861"/>
      <c r="NCR224" s="862"/>
      <c r="NCS224" s="862"/>
      <c r="NCT224" s="862"/>
      <c r="NCU224" s="862"/>
      <c r="NCV224" s="863"/>
      <c r="NCW224" s="861"/>
      <c r="NCX224" s="862"/>
      <c r="NCY224" s="862"/>
      <c r="NCZ224" s="862"/>
      <c r="NDA224" s="862"/>
      <c r="NDB224" s="863"/>
      <c r="NDC224" s="861"/>
      <c r="NDD224" s="862"/>
      <c r="NDE224" s="862"/>
      <c r="NDF224" s="862"/>
      <c r="NDG224" s="862"/>
      <c r="NDH224" s="863"/>
      <c r="NDI224" s="861"/>
      <c r="NDJ224" s="862"/>
      <c r="NDK224" s="862"/>
      <c r="NDL224" s="862"/>
      <c r="NDM224" s="862"/>
      <c r="NDN224" s="863"/>
      <c r="NDO224" s="861"/>
      <c r="NDP224" s="862"/>
      <c r="NDQ224" s="862"/>
      <c r="NDR224" s="862"/>
      <c r="NDS224" s="862"/>
      <c r="NDT224" s="863"/>
      <c r="NDU224" s="861"/>
      <c r="NDV224" s="862"/>
      <c r="NDW224" s="862"/>
      <c r="NDX224" s="862"/>
      <c r="NDY224" s="862"/>
      <c r="NDZ224" s="863"/>
      <c r="NEA224" s="861"/>
      <c r="NEB224" s="862"/>
      <c r="NEC224" s="862"/>
      <c r="NED224" s="862"/>
      <c r="NEE224" s="862"/>
      <c r="NEF224" s="863"/>
      <c r="NEG224" s="861"/>
      <c r="NEH224" s="862"/>
      <c r="NEI224" s="862"/>
      <c r="NEJ224" s="862"/>
      <c r="NEK224" s="862"/>
      <c r="NEL224" s="863"/>
      <c r="NEM224" s="861"/>
      <c r="NEN224" s="862"/>
      <c r="NEO224" s="862"/>
      <c r="NEP224" s="862"/>
      <c r="NEQ224" s="862"/>
      <c r="NER224" s="863"/>
      <c r="NES224" s="861"/>
      <c r="NET224" s="862"/>
      <c r="NEU224" s="862"/>
      <c r="NEV224" s="862"/>
      <c r="NEW224" s="862"/>
      <c r="NEX224" s="863"/>
      <c r="NEY224" s="861"/>
      <c r="NEZ224" s="862"/>
      <c r="NFA224" s="862"/>
      <c r="NFB224" s="862"/>
      <c r="NFC224" s="862"/>
      <c r="NFD224" s="863"/>
      <c r="NFE224" s="861"/>
      <c r="NFF224" s="862"/>
      <c r="NFG224" s="862"/>
      <c r="NFH224" s="862"/>
      <c r="NFI224" s="862"/>
      <c r="NFJ224" s="863"/>
      <c r="NFK224" s="861"/>
      <c r="NFL224" s="862"/>
      <c r="NFM224" s="862"/>
      <c r="NFN224" s="862"/>
      <c r="NFO224" s="862"/>
      <c r="NFP224" s="863"/>
      <c r="NFQ224" s="861"/>
      <c r="NFR224" s="862"/>
      <c r="NFS224" s="862"/>
      <c r="NFT224" s="862"/>
      <c r="NFU224" s="862"/>
      <c r="NFV224" s="863"/>
      <c r="NFW224" s="861"/>
      <c r="NFX224" s="862"/>
      <c r="NFY224" s="862"/>
      <c r="NFZ224" s="862"/>
      <c r="NGA224" s="862"/>
      <c r="NGB224" s="863"/>
      <c r="NGC224" s="861"/>
      <c r="NGD224" s="862"/>
      <c r="NGE224" s="862"/>
      <c r="NGF224" s="862"/>
      <c r="NGG224" s="862"/>
      <c r="NGH224" s="863"/>
      <c r="NGI224" s="861"/>
      <c r="NGJ224" s="862"/>
      <c r="NGK224" s="862"/>
      <c r="NGL224" s="862"/>
      <c r="NGM224" s="862"/>
      <c r="NGN224" s="863"/>
      <c r="NGO224" s="861"/>
      <c r="NGP224" s="862"/>
      <c r="NGQ224" s="862"/>
      <c r="NGR224" s="862"/>
      <c r="NGS224" s="862"/>
      <c r="NGT224" s="863"/>
      <c r="NGU224" s="861"/>
      <c r="NGV224" s="862"/>
      <c r="NGW224" s="862"/>
      <c r="NGX224" s="862"/>
      <c r="NGY224" s="862"/>
      <c r="NGZ224" s="863"/>
      <c r="NHA224" s="861"/>
      <c r="NHB224" s="862"/>
      <c r="NHC224" s="862"/>
      <c r="NHD224" s="862"/>
      <c r="NHE224" s="862"/>
      <c r="NHF224" s="863"/>
      <c r="NHG224" s="861"/>
      <c r="NHH224" s="862"/>
      <c r="NHI224" s="862"/>
      <c r="NHJ224" s="862"/>
      <c r="NHK224" s="862"/>
      <c r="NHL224" s="863"/>
      <c r="NHM224" s="861"/>
      <c r="NHN224" s="862"/>
      <c r="NHO224" s="862"/>
      <c r="NHP224" s="862"/>
      <c r="NHQ224" s="862"/>
      <c r="NHR224" s="863"/>
      <c r="NHS224" s="861"/>
      <c r="NHT224" s="862"/>
      <c r="NHU224" s="862"/>
      <c r="NHV224" s="862"/>
      <c r="NHW224" s="862"/>
      <c r="NHX224" s="863"/>
      <c r="NHY224" s="861"/>
      <c r="NHZ224" s="862"/>
      <c r="NIA224" s="862"/>
      <c r="NIB224" s="862"/>
      <c r="NIC224" s="862"/>
      <c r="NID224" s="863"/>
      <c r="NIE224" s="861"/>
      <c r="NIF224" s="862"/>
      <c r="NIG224" s="862"/>
      <c r="NIH224" s="862"/>
      <c r="NII224" s="862"/>
      <c r="NIJ224" s="863"/>
      <c r="NIK224" s="861"/>
      <c r="NIL224" s="862"/>
      <c r="NIM224" s="862"/>
      <c r="NIN224" s="862"/>
      <c r="NIO224" s="862"/>
      <c r="NIP224" s="863"/>
      <c r="NIQ224" s="861"/>
      <c r="NIR224" s="862"/>
      <c r="NIS224" s="862"/>
      <c r="NIT224" s="862"/>
      <c r="NIU224" s="862"/>
      <c r="NIV224" s="863"/>
      <c r="NIW224" s="861"/>
      <c r="NIX224" s="862"/>
      <c r="NIY224" s="862"/>
      <c r="NIZ224" s="862"/>
      <c r="NJA224" s="862"/>
      <c r="NJB224" s="863"/>
      <c r="NJC224" s="861"/>
      <c r="NJD224" s="862"/>
      <c r="NJE224" s="862"/>
      <c r="NJF224" s="862"/>
      <c r="NJG224" s="862"/>
      <c r="NJH224" s="863"/>
      <c r="NJI224" s="861"/>
      <c r="NJJ224" s="862"/>
      <c r="NJK224" s="862"/>
      <c r="NJL224" s="862"/>
      <c r="NJM224" s="862"/>
      <c r="NJN224" s="863"/>
      <c r="NJO224" s="861"/>
      <c r="NJP224" s="862"/>
      <c r="NJQ224" s="862"/>
      <c r="NJR224" s="862"/>
      <c r="NJS224" s="862"/>
      <c r="NJT224" s="863"/>
      <c r="NJU224" s="861"/>
      <c r="NJV224" s="862"/>
      <c r="NJW224" s="862"/>
      <c r="NJX224" s="862"/>
      <c r="NJY224" s="862"/>
      <c r="NJZ224" s="863"/>
      <c r="NKA224" s="861"/>
      <c r="NKB224" s="862"/>
      <c r="NKC224" s="862"/>
      <c r="NKD224" s="862"/>
      <c r="NKE224" s="862"/>
      <c r="NKF224" s="863"/>
      <c r="NKG224" s="861"/>
      <c r="NKH224" s="862"/>
      <c r="NKI224" s="862"/>
      <c r="NKJ224" s="862"/>
      <c r="NKK224" s="862"/>
      <c r="NKL224" s="863"/>
      <c r="NKM224" s="861"/>
      <c r="NKN224" s="862"/>
      <c r="NKO224" s="862"/>
      <c r="NKP224" s="862"/>
      <c r="NKQ224" s="862"/>
      <c r="NKR224" s="863"/>
      <c r="NKS224" s="861"/>
      <c r="NKT224" s="862"/>
      <c r="NKU224" s="862"/>
      <c r="NKV224" s="862"/>
      <c r="NKW224" s="862"/>
      <c r="NKX224" s="863"/>
      <c r="NKY224" s="861"/>
      <c r="NKZ224" s="862"/>
      <c r="NLA224" s="862"/>
      <c r="NLB224" s="862"/>
      <c r="NLC224" s="862"/>
      <c r="NLD224" s="863"/>
      <c r="NLE224" s="861"/>
      <c r="NLF224" s="862"/>
      <c r="NLG224" s="862"/>
      <c r="NLH224" s="862"/>
      <c r="NLI224" s="862"/>
      <c r="NLJ224" s="863"/>
      <c r="NLK224" s="861"/>
      <c r="NLL224" s="862"/>
      <c r="NLM224" s="862"/>
      <c r="NLN224" s="862"/>
      <c r="NLO224" s="862"/>
      <c r="NLP224" s="863"/>
      <c r="NLQ224" s="861"/>
      <c r="NLR224" s="862"/>
      <c r="NLS224" s="862"/>
      <c r="NLT224" s="862"/>
      <c r="NLU224" s="862"/>
      <c r="NLV224" s="863"/>
      <c r="NLW224" s="861"/>
      <c r="NLX224" s="862"/>
      <c r="NLY224" s="862"/>
      <c r="NLZ224" s="862"/>
      <c r="NMA224" s="862"/>
      <c r="NMB224" s="863"/>
      <c r="NMC224" s="861"/>
      <c r="NMD224" s="862"/>
      <c r="NME224" s="862"/>
      <c r="NMF224" s="862"/>
      <c r="NMG224" s="862"/>
      <c r="NMH224" s="863"/>
      <c r="NMI224" s="861"/>
      <c r="NMJ224" s="862"/>
      <c r="NMK224" s="862"/>
      <c r="NML224" s="862"/>
      <c r="NMM224" s="862"/>
      <c r="NMN224" s="863"/>
      <c r="NMO224" s="861"/>
      <c r="NMP224" s="862"/>
      <c r="NMQ224" s="862"/>
      <c r="NMR224" s="862"/>
      <c r="NMS224" s="862"/>
      <c r="NMT224" s="863"/>
      <c r="NMU224" s="861"/>
      <c r="NMV224" s="862"/>
      <c r="NMW224" s="862"/>
      <c r="NMX224" s="862"/>
      <c r="NMY224" s="862"/>
      <c r="NMZ224" s="863"/>
      <c r="NNA224" s="861"/>
      <c r="NNB224" s="862"/>
      <c r="NNC224" s="862"/>
      <c r="NND224" s="862"/>
      <c r="NNE224" s="862"/>
      <c r="NNF224" s="863"/>
      <c r="NNG224" s="861"/>
      <c r="NNH224" s="862"/>
      <c r="NNI224" s="862"/>
      <c r="NNJ224" s="862"/>
      <c r="NNK224" s="862"/>
      <c r="NNL224" s="863"/>
      <c r="NNM224" s="861"/>
      <c r="NNN224" s="862"/>
      <c r="NNO224" s="862"/>
      <c r="NNP224" s="862"/>
      <c r="NNQ224" s="862"/>
      <c r="NNR224" s="863"/>
      <c r="NNS224" s="861"/>
      <c r="NNT224" s="862"/>
      <c r="NNU224" s="862"/>
      <c r="NNV224" s="862"/>
      <c r="NNW224" s="862"/>
      <c r="NNX224" s="863"/>
      <c r="NNY224" s="861"/>
      <c r="NNZ224" s="862"/>
      <c r="NOA224" s="862"/>
      <c r="NOB224" s="862"/>
      <c r="NOC224" s="862"/>
      <c r="NOD224" s="863"/>
      <c r="NOE224" s="861"/>
      <c r="NOF224" s="862"/>
      <c r="NOG224" s="862"/>
      <c r="NOH224" s="862"/>
      <c r="NOI224" s="862"/>
      <c r="NOJ224" s="863"/>
      <c r="NOK224" s="861"/>
      <c r="NOL224" s="862"/>
      <c r="NOM224" s="862"/>
      <c r="NON224" s="862"/>
      <c r="NOO224" s="862"/>
      <c r="NOP224" s="863"/>
      <c r="NOQ224" s="861"/>
      <c r="NOR224" s="862"/>
      <c r="NOS224" s="862"/>
      <c r="NOT224" s="862"/>
      <c r="NOU224" s="862"/>
      <c r="NOV224" s="863"/>
      <c r="NOW224" s="861"/>
      <c r="NOX224" s="862"/>
      <c r="NOY224" s="862"/>
      <c r="NOZ224" s="862"/>
      <c r="NPA224" s="862"/>
      <c r="NPB224" s="863"/>
      <c r="NPC224" s="861"/>
      <c r="NPD224" s="862"/>
      <c r="NPE224" s="862"/>
      <c r="NPF224" s="862"/>
      <c r="NPG224" s="862"/>
      <c r="NPH224" s="863"/>
      <c r="NPI224" s="861"/>
      <c r="NPJ224" s="862"/>
      <c r="NPK224" s="862"/>
      <c r="NPL224" s="862"/>
      <c r="NPM224" s="862"/>
      <c r="NPN224" s="863"/>
      <c r="NPO224" s="861"/>
      <c r="NPP224" s="862"/>
      <c r="NPQ224" s="862"/>
      <c r="NPR224" s="862"/>
      <c r="NPS224" s="862"/>
      <c r="NPT224" s="863"/>
      <c r="NPU224" s="861"/>
      <c r="NPV224" s="862"/>
      <c r="NPW224" s="862"/>
      <c r="NPX224" s="862"/>
      <c r="NPY224" s="862"/>
      <c r="NPZ224" s="863"/>
      <c r="NQA224" s="861"/>
      <c r="NQB224" s="862"/>
      <c r="NQC224" s="862"/>
      <c r="NQD224" s="862"/>
      <c r="NQE224" s="862"/>
      <c r="NQF224" s="863"/>
      <c r="NQG224" s="861"/>
      <c r="NQH224" s="862"/>
      <c r="NQI224" s="862"/>
      <c r="NQJ224" s="862"/>
      <c r="NQK224" s="862"/>
      <c r="NQL224" s="863"/>
      <c r="NQM224" s="861"/>
      <c r="NQN224" s="862"/>
      <c r="NQO224" s="862"/>
      <c r="NQP224" s="862"/>
      <c r="NQQ224" s="862"/>
      <c r="NQR224" s="863"/>
      <c r="NQS224" s="861"/>
      <c r="NQT224" s="862"/>
      <c r="NQU224" s="862"/>
      <c r="NQV224" s="862"/>
      <c r="NQW224" s="862"/>
      <c r="NQX224" s="863"/>
      <c r="NQY224" s="861"/>
      <c r="NQZ224" s="862"/>
      <c r="NRA224" s="862"/>
      <c r="NRB224" s="862"/>
      <c r="NRC224" s="862"/>
      <c r="NRD224" s="863"/>
      <c r="NRE224" s="861"/>
      <c r="NRF224" s="862"/>
      <c r="NRG224" s="862"/>
      <c r="NRH224" s="862"/>
      <c r="NRI224" s="862"/>
      <c r="NRJ224" s="863"/>
      <c r="NRK224" s="861"/>
      <c r="NRL224" s="862"/>
      <c r="NRM224" s="862"/>
      <c r="NRN224" s="862"/>
      <c r="NRO224" s="862"/>
      <c r="NRP224" s="863"/>
      <c r="NRQ224" s="861"/>
      <c r="NRR224" s="862"/>
      <c r="NRS224" s="862"/>
      <c r="NRT224" s="862"/>
      <c r="NRU224" s="862"/>
      <c r="NRV224" s="863"/>
      <c r="NRW224" s="861"/>
      <c r="NRX224" s="862"/>
      <c r="NRY224" s="862"/>
      <c r="NRZ224" s="862"/>
      <c r="NSA224" s="862"/>
      <c r="NSB224" s="863"/>
      <c r="NSC224" s="861"/>
      <c r="NSD224" s="862"/>
      <c r="NSE224" s="862"/>
      <c r="NSF224" s="862"/>
      <c r="NSG224" s="862"/>
      <c r="NSH224" s="863"/>
      <c r="NSI224" s="861"/>
      <c r="NSJ224" s="862"/>
      <c r="NSK224" s="862"/>
      <c r="NSL224" s="862"/>
      <c r="NSM224" s="862"/>
      <c r="NSN224" s="863"/>
      <c r="NSO224" s="861"/>
      <c r="NSP224" s="862"/>
      <c r="NSQ224" s="862"/>
      <c r="NSR224" s="862"/>
      <c r="NSS224" s="862"/>
      <c r="NST224" s="863"/>
      <c r="NSU224" s="861"/>
      <c r="NSV224" s="862"/>
      <c r="NSW224" s="862"/>
      <c r="NSX224" s="862"/>
      <c r="NSY224" s="862"/>
      <c r="NSZ224" s="863"/>
      <c r="NTA224" s="861"/>
      <c r="NTB224" s="862"/>
      <c r="NTC224" s="862"/>
      <c r="NTD224" s="862"/>
      <c r="NTE224" s="862"/>
      <c r="NTF224" s="863"/>
      <c r="NTG224" s="861"/>
      <c r="NTH224" s="862"/>
      <c r="NTI224" s="862"/>
      <c r="NTJ224" s="862"/>
      <c r="NTK224" s="862"/>
      <c r="NTL224" s="863"/>
      <c r="NTM224" s="861"/>
      <c r="NTN224" s="862"/>
      <c r="NTO224" s="862"/>
      <c r="NTP224" s="862"/>
      <c r="NTQ224" s="862"/>
      <c r="NTR224" s="863"/>
      <c r="NTS224" s="861"/>
      <c r="NTT224" s="862"/>
      <c r="NTU224" s="862"/>
      <c r="NTV224" s="862"/>
      <c r="NTW224" s="862"/>
      <c r="NTX224" s="863"/>
      <c r="NTY224" s="861"/>
      <c r="NTZ224" s="862"/>
      <c r="NUA224" s="862"/>
      <c r="NUB224" s="862"/>
      <c r="NUC224" s="862"/>
      <c r="NUD224" s="863"/>
      <c r="NUE224" s="861"/>
      <c r="NUF224" s="862"/>
      <c r="NUG224" s="862"/>
      <c r="NUH224" s="862"/>
      <c r="NUI224" s="862"/>
      <c r="NUJ224" s="863"/>
      <c r="NUK224" s="861"/>
      <c r="NUL224" s="862"/>
      <c r="NUM224" s="862"/>
      <c r="NUN224" s="862"/>
      <c r="NUO224" s="862"/>
      <c r="NUP224" s="863"/>
      <c r="NUQ224" s="861"/>
      <c r="NUR224" s="862"/>
      <c r="NUS224" s="862"/>
      <c r="NUT224" s="862"/>
      <c r="NUU224" s="862"/>
      <c r="NUV224" s="863"/>
      <c r="NUW224" s="861"/>
      <c r="NUX224" s="862"/>
      <c r="NUY224" s="862"/>
      <c r="NUZ224" s="862"/>
      <c r="NVA224" s="862"/>
      <c r="NVB224" s="863"/>
      <c r="NVC224" s="861"/>
      <c r="NVD224" s="862"/>
      <c r="NVE224" s="862"/>
      <c r="NVF224" s="862"/>
      <c r="NVG224" s="862"/>
      <c r="NVH224" s="863"/>
      <c r="NVI224" s="861"/>
      <c r="NVJ224" s="862"/>
      <c r="NVK224" s="862"/>
      <c r="NVL224" s="862"/>
      <c r="NVM224" s="862"/>
      <c r="NVN224" s="863"/>
      <c r="NVO224" s="861"/>
      <c r="NVP224" s="862"/>
      <c r="NVQ224" s="862"/>
      <c r="NVR224" s="862"/>
      <c r="NVS224" s="862"/>
      <c r="NVT224" s="863"/>
      <c r="NVU224" s="861"/>
      <c r="NVV224" s="862"/>
      <c r="NVW224" s="862"/>
      <c r="NVX224" s="862"/>
      <c r="NVY224" s="862"/>
      <c r="NVZ224" s="863"/>
      <c r="NWA224" s="861"/>
      <c r="NWB224" s="862"/>
      <c r="NWC224" s="862"/>
      <c r="NWD224" s="862"/>
      <c r="NWE224" s="862"/>
      <c r="NWF224" s="863"/>
      <c r="NWG224" s="861"/>
      <c r="NWH224" s="862"/>
      <c r="NWI224" s="862"/>
      <c r="NWJ224" s="862"/>
      <c r="NWK224" s="862"/>
      <c r="NWL224" s="863"/>
      <c r="NWM224" s="861"/>
      <c r="NWN224" s="862"/>
      <c r="NWO224" s="862"/>
      <c r="NWP224" s="862"/>
      <c r="NWQ224" s="862"/>
      <c r="NWR224" s="863"/>
      <c r="NWS224" s="861"/>
      <c r="NWT224" s="862"/>
      <c r="NWU224" s="862"/>
      <c r="NWV224" s="862"/>
      <c r="NWW224" s="862"/>
      <c r="NWX224" s="863"/>
      <c r="NWY224" s="861"/>
      <c r="NWZ224" s="862"/>
      <c r="NXA224" s="862"/>
      <c r="NXB224" s="862"/>
      <c r="NXC224" s="862"/>
      <c r="NXD224" s="863"/>
      <c r="NXE224" s="861"/>
      <c r="NXF224" s="862"/>
      <c r="NXG224" s="862"/>
      <c r="NXH224" s="862"/>
      <c r="NXI224" s="862"/>
      <c r="NXJ224" s="863"/>
      <c r="NXK224" s="861"/>
      <c r="NXL224" s="862"/>
      <c r="NXM224" s="862"/>
      <c r="NXN224" s="862"/>
      <c r="NXO224" s="862"/>
      <c r="NXP224" s="863"/>
      <c r="NXQ224" s="861"/>
      <c r="NXR224" s="862"/>
      <c r="NXS224" s="862"/>
      <c r="NXT224" s="862"/>
      <c r="NXU224" s="862"/>
      <c r="NXV224" s="863"/>
      <c r="NXW224" s="861"/>
      <c r="NXX224" s="862"/>
      <c r="NXY224" s="862"/>
      <c r="NXZ224" s="862"/>
      <c r="NYA224" s="862"/>
      <c r="NYB224" s="863"/>
      <c r="NYC224" s="861"/>
      <c r="NYD224" s="862"/>
      <c r="NYE224" s="862"/>
      <c r="NYF224" s="862"/>
      <c r="NYG224" s="862"/>
      <c r="NYH224" s="863"/>
      <c r="NYI224" s="861"/>
      <c r="NYJ224" s="862"/>
      <c r="NYK224" s="862"/>
      <c r="NYL224" s="862"/>
      <c r="NYM224" s="862"/>
      <c r="NYN224" s="863"/>
      <c r="NYO224" s="861"/>
      <c r="NYP224" s="862"/>
      <c r="NYQ224" s="862"/>
      <c r="NYR224" s="862"/>
      <c r="NYS224" s="862"/>
      <c r="NYT224" s="863"/>
      <c r="NYU224" s="861"/>
      <c r="NYV224" s="862"/>
      <c r="NYW224" s="862"/>
      <c r="NYX224" s="862"/>
      <c r="NYY224" s="862"/>
      <c r="NYZ224" s="863"/>
      <c r="NZA224" s="861"/>
      <c r="NZB224" s="862"/>
      <c r="NZC224" s="862"/>
      <c r="NZD224" s="862"/>
      <c r="NZE224" s="862"/>
      <c r="NZF224" s="863"/>
      <c r="NZG224" s="861"/>
      <c r="NZH224" s="862"/>
      <c r="NZI224" s="862"/>
      <c r="NZJ224" s="862"/>
      <c r="NZK224" s="862"/>
      <c r="NZL224" s="863"/>
      <c r="NZM224" s="861"/>
      <c r="NZN224" s="862"/>
      <c r="NZO224" s="862"/>
      <c r="NZP224" s="862"/>
      <c r="NZQ224" s="862"/>
      <c r="NZR224" s="863"/>
      <c r="NZS224" s="861"/>
      <c r="NZT224" s="862"/>
      <c r="NZU224" s="862"/>
      <c r="NZV224" s="862"/>
      <c r="NZW224" s="862"/>
      <c r="NZX224" s="863"/>
      <c r="NZY224" s="861"/>
      <c r="NZZ224" s="862"/>
      <c r="OAA224" s="862"/>
      <c r="OAB224" s="862"/>
      <c r="OAC224" s="862"/>
      <c r="OAD224" s="863"/>
      <c r="OAE224" s="861"/>
      <c r="OAF224" s="862"/>
      <c r="OAG224" s="862"/>
      <c r="OAH224" s="862"/>
      <c r="OAI224" s="862"/>
      <c r="OAJ224" s="863"/>
      <c r="OAK224" s="861"/>
      <c r="OAL224" s="862"/>
      <c r="OAM224" s="862"/>
      <c r="OAN224" s="862"/>
      <c r="OAO224" s="862"/>
      <c r="OAP224" s="863"/>
      <c r="OAQ224" s="861"/>
      <c r="OAR224" s="862"/>
      <c r="OAS224" s="862"/>
      <c r="OAT224" s="862"/>
      <c r="OAU224" s="862"/>
      <c r="OAV224" s="863"/>
      <c r="OAW224" s="861"/>
      <c r="OAX224" s="862"/>
      <c r="OAY224" s="862"/>
      <c r="OAZ224" s="862"/>
      <c r="OBA224" s="862"/>
      <c r="OBB224" s="863"/>
      <c r="OBC224" s="861"/>
      <c r="OBD224" s="862"/>
      <c r="OBE224" s="862"/>
      <c r="OBF224" s="862"/>
      <c r="OBG224" s="862"/>
      <c r="OBH224" s="863"/>
      <c r="OBI224" s="861"/>
      <c r="OBJ224" s="862"/>
      <c r="OBK224" s="862"/>
      <c r="OBL224" s="862"/>
      <c r="OBM224" s="862"/>
      <c r="OBN224" s="863"/>
      <c r="OBO224" s="861"/>
      <c r="OBP224" s="862"/>
      <c r="OBQ224" s="862"/>
      <c r="OBR224" s="862"/>
      <c r="OBS224" s="862"/>
      <c r="OBT224" s="863"/>
      <c r="OBU224" s="861"/>
      <c r="OBV224" s="862"/>
      <c r="OBW224" s="862"/>
      <c r="OBX224" s="862"/>
      <c r="OBY224" s="862"/>
      <c r="OBZ224" s="863"/>
      <c r="OCA224" s="861"/>
      <c r="OCB224" s="862"/>
      <c r="OCC224" s="862"/>
      <c r="OCD224" s="862"/>
      <c r="OCE224" s="862"/>
      <c r="OCF224" s="863"/>
      <c r="OCG224" s="861"/>
      <c r="OCH224" s="862"/>
      <c r="OCI224" s="862"/>
      <c r="OCJ224" s="862"/>
      <c r="OCK224" s="862"/>
      <c r="OCL224" s="863"/>
      <c r="OCM224" s="861"/>
      <c r="OCN224" s="862"/>
      <c r="OCO224" s="862"/>
      <c r="OCP224" s="862"/>
      <c r="OCQ224" s="862"/>
      <c r="OCR224" s="863"/>
      <c r="OCS224" s="861"/>
      <c r="OCT224" s="862"/>
      <c r="OCU224" s="862"/>
      <c r="OCV224" s="862"/>
      <c r="OCW224" s="862"/>
      <c r="OCX224" s="863"/>
      <c r="OCY224" s="861"/>
      <c r="OCZ224" s="862"/>
      <c r="ODA224" s="862"/>
      <c r="ODB224" s="862"/>
      <c r="ODC224" s="862"/>
      <c r="ODD224" s="863"/>
      <c r="ODE224" s="861"/>
      <c r="ODF224" s="862"/>
      <c r="ODG224" s="862"/>
      <c r="ODH224" s="862"/>
      <c r="ODI224" s="862"/>
      <c r="ODJ224" s="863"/>
      <c r="ODK224" s="861"/>
      <c r="ODL224" s="862"/>
      <c r="ODM224" s="862"/>
      <c r="ODN224" s="862"/>
      <c r="ODO224" s="862"/>
      <c r="ODP224" s="863"/>
      <c r="ODQ224" s="861"/>
      <c r="ODR224" s="862"/>
      <c r="ODS224" s="862"/>
      <c r="ODT224" s="862"/>
      <c r="ODU224" s="862"/>
      <c r="ODV224" s="863"/>
      <c r="ODW224" s="861"/>
      <c r="ODX224" s="862"/>
      <c r="ODY224" s="862"/>
      <c r="ODZ224" s="862"/>
      <c r="OEA224" s="862"/>
      <c r="OEB224" s="863"/>
      <c r="OEC224" s="861"/>
      <c r="OED224" s="862"/>
      <c r="OEE224" s="862"/>
      <c r="OEF224" s="862"/>
      <c r="OEG224" s="862"/>
      <c r="OEH224" s="863"/>
      <c r="OEI224" s="861"/>
      <c r="OEJ224" s="862"/>
      <c r="OEK224" s="862"/>
      <c r="OEL224" s="862"/>
      <c r="OEM224" s="862"/>
      <c r="OEN224" s="863"/>
      <c r="OEO224" s="861"/>
      <c r="OEP224" s="862"/>
      <c r="OEQ224" s="862"/>
      <c r="OER224" s="862"/>
      <c r="OES224" s="862"/>
      <c r="OET224" s="863"/>
      <c r="OEU224" s="861"/>
      <c r="OEV224" s="862"/>
      <c r="OEW224" s="862"/>
      <c r="OEX224" s="862"/>
      <c r="OEY224" s="862"/>
      <c r="OEZ224" s="863"/>
      <c r="OFA224" s="861"/>
      <c r="OFB224" s="862"/>
      <c r="OFC224" s="862"/>
      <c r="OFD224" s="862"/>
      <c r="OFE224" s="862"/>
      <c r="OFF224" s="863"/>
      <c r="OFG224" s="861"/>
      <c r="OFH224" s="862"/>
      <c r="OFI224" s="862"/>
      <c r="OFJ224" s="862"/>
      <c r="OFK224" s="862"/>
      <c r="OFL224" s="863"/>
      <c r="OFM224" s="861"/>
      <c r="OFN224" s="862"/>
      <c r="OFO224" s="862"/>
      <c r="OFP224" s="862"/>
      <c r="OFQ224" s="862"/>
      <c r="OFR224" s="863"/>
      <c r="OFS224" s="861"/>
      <c r="OFT224" s="862"/>
      <c r="OFU224" s="862"/>
      <c r="OFV224" s="862"/>
      <c r="OFW224" s="862"/>
      <c r="OFX224" s="863"/>
      <c r="OFY224" s="861"/>
      <c r="OFZ224" s="862"/>
      <c r="OGA224" s="862"/>
      <c r="OGB224" s="862"/>
      <c r="OGC224" s="862"/>
      <c r="OGD224" s="863"/>
      <c r="OGE224" s="861"/>
      <c r="OGF224" s="862"/>
      <c r="OGG224" s="862"/>
      <c r="OGH224" s="862"/>
      <c r="OGI224" s="862"/>
      <c r="OGJ224" s="863"/>
      <c r="OGK224" s="861"/>
      <c r="OGL224" s="862"/>
      <c r="OGM224" s="862"/>
      <c r="OGN224" s="862"/>
      <c r="OGO224" s="862"/>
      <c r="OGP224" s="863"/>
      <c r="OGQ224" s="861"/>
      <c r="OGR224" s="862"/>
      <c r="OGS224" s="862"/>
      <c r="OGT224" s="862"/>
      <c r="OGU224" s="862"/>
      <c r="OGV224" s="863"/>
      <c r="OGW224" s="861"/>
      <c r="OGX224" s="862"/>
      <c r="OGY224" s="862"/>
      <c r="OGZ224" s="862"/>
      <c r="OHA224" s="862"/>
      <c r="OHB224" s="863"/>
      <c r="OHC224" s="861"/>
      <c r="OHD224" s="862"/>
      <c r="OHE224" s="862"/>
      <c r="OHF224" s="862"/>
      <c r="OHG224" s="862"/>
      <c r="OHH224" s="863"/>
      <c r="OHI224" s="861"/>
      <c r="OHJ224" s="862"/>
      <c r="OHK224" s="862"/>
      <c r="OHL224" s="862"/>
      <c r="OHM224" s="862"/>
      <c r="OHN224" s="863"/>
      <c r="OHO224" s="861"/>
      <c r="OHP224" s="862"/>
      <c r="OHQ224" s="862"/>
      <c r="OHR224" s="862"/>
      <c r="OHS224" s="862"/>
      <c r="OHT224" s="863"/>
      <c r="OHU224" s="861"/>
      <c r="OHV224" s="862"/>
      <c r="OHW224" s="862"/>
      <c r="OHX224" s="862"/>
      <c r="OHY224" s="862"/>
      <c r="OHZ224" s="863"/>
      <c r="OIA224" s="861"/>
      <c r="OIB224" s="862"/>
      <c r="OIC224" s="862"/>
      <c r="OID224" s="862"/>
      <c r="OIE224" s="862"/>
      <c r="OIF224" s="863"/>
      <c r="OIG224" s="861"/>
      <c r="OIH224" s="862"/>
      <c r="OII224" s="862"/>
      <c r="OIJ224" s="862"/>
      <c r="OIK224" s="862"/>
      <c r="OIL224" s="863"/>
      <c r="OIM224" s="861"/>
      <c r="OIN224" s="862"/>
      <c r="OIO224" s="862"/>
      <c r="OIP224" s="862"/>
      <c r="OIQ224" s="862"/>
      <c r="OIR224" s="863"/>
      <c r="OIS224" s="861"/>
      <c r="OIT224" s="862"/>
      <c r="OIU224" s="862"/>
      <c r="OIV224" s="862"/>
      <c r="OIW224" s="862"/>
      <c r="OIX224" s="863"/>
      <c r="OIY224" s="861"/>
      <c r="OIZ224" s="862"/>
      <c r="OJA224" s="862"/>
      <c r="OJB224" s="862"/>
      <c r="OJC224" s="862"/>
      <c r="OJD224" s="863"/>
      <c r="OJE224" s="861"/>
      <c r="OJF224" s="862"/>
      <c r="OJG224" s="862"/>
      <c r="OJH224" s="862"/>
      <c r="OJI224" s="862"/>
      <c r="OJJ224" s="863"/>
      <c r="OJK224" s="861"/>
      <c r="OJL224" s="862"/>
      <c r="OJM224" s="862"/>
      <c r="OJN224" s="862"/>
      <c r="OJO224" s="862"/>
      <c r="OJP224" s="863"/>
      <c r="OJQ224" s="861"/>
      <c r="OJR224" s="862"/>
      <c r="OJS224" s="862"/>
      <c r="OJT224" s="862"/>
      <c r="OJU224" s="862"/>
      <c r="OJV224" s="863"/>
      <c r="OJW224" s="861"/>
      <c r="OJX224" s="862"/>
      <c r="OJY224" s="862"/>
      <c r="OJZ224" s="862"/>
      <c r="OKA224" s="862"/>
      <c r="OKB224" s="863"/>
      <c r="OKC224" s="861"/>
      <c r="OKD224" s="862"/>
      <c r="OKE224" s="862"/>
      <c r="OKF224" s="862"/>
      <c r="OKG224" s="862"/>
      <c r="OKH224" s="863"/>
      <c r="OKI224" s="861"/>
      <c r="OKJ224" s="862"/>
      <c r="OKK224" s="862"/>
      <c r="OKL224" s="862"/>
      <c r="OKM224" s="862"/>
      <c r="OKN224" s="863"/>
      <c r="OKO224" s="861"/>
      <c r="OKP224" s="862"/>
      <c r="OKQ224" s="862"/>
      <c r="OKR224" s="862"/>
      <c r="OKS224" s="862"/>
      <c r="OKT224" s="863"/>
      <c r="OKU224" s="861"/>
      <c r="OKV224" s="862"/>
      <c r="OKW224" s="862"/>
      <c r="OKX224" s="862"/>
      <c r="OKY224" s="862"/>
      <c r="OKZ224" s="863"/>
      <c r="OLA224" s="861"/>
      <c r="OLB224" s="862"/>
      <c r="OLC224" s="862"/>
      <c r="OLD224" s="862"/>
      <c r="OLE224" s="862"/>
      <c r="OLF224" s="863"/>
      <c r="OLG224" s="861"/>
      <c r="OLH224" s="862"/>
      <c r="OLI224" s="862"/>
      <c r="OLJ224" s="862"/>
      <c r="OLK224" s="862"/>
      <c r="OLL224" s="863"/>
      <c r="OLM224" s="861"/>
      <c r="OLN224" s="862"/>
      <c r="OLO224" s="862"/>
      <c r="OLP224" s="862"/>
      <c r="OLQ224" s="862"/>
      <c r="OLR224" s="863"/>
      <c r="OLS224" s="861"/>
      <c r="OLT224" s="862"/>
      <c r="OLU224" s="862"/>
      <c r="OLV224" s="862"/>
      <c r="OLW224" s="862"/>
      <c r="OLX224" s="863"/>
      <c r="OLY224" s="861"/>
      <c r="OLZ224" s="862"/>
      <c r="OMA224" s="862"/>
      <c r="OMB224" s="862"/>
      <c r="OMC224" s="862"/>
      <c r="OMD224" s="863"/>
      <c r="OME224" s="861"/>
      <c r="OMF224" s="862"/>
      <c r="OMG224" s="862"/>
      <c r="OMH224" s="862"/>
      <c r="OMI224" s="862"/>
      <c r="OMJ224" s="863"/>
      <c r="OMK224" s="861"/>
      <c r="OML224" s="862"/>
      <c r="OMM224" s="862"/>
      <c r="OMN224" s="862"/>
      <c r="OMO224" s="862"/>
      <c r="OMP224" s="863"/>
      <c r="OMQ224" s="861"/>
      <c r="OMR224" s="862"/>
      <c r="OMS224" s="862"/>
      <c r="OMT224" s="862"/>
      <c r="OMU224" s="862"/>
      <c r="OMV224" s="863"/>
      <c r="OMW224" s="861"/>
      <c r="OMX224" s="862"/>
      <c r="OMY224" s="862"/>
      <c r="OMZ224" s="862"/>
      <c r="ONA224" s="862"/>
      <c r="ONB224" s="863"/>
      <c r="ONC224" s="861"/>
      <c r="OND224" s="862"/>
      <c r="ONE224" s="862"/>
      <c r="ONF224" s="862"/>
      <c r="ONG224" s="862"/>
      <c r="ONH224" s="863"/>
      <c r="ONI224" s="861"/>
      <c r="ONJ224" s="862"/>
      <c r="ONK224" s="862"/>
      <c r="ONL224" s="862"/>
      <c r="ONM224" s="862"/>
      <c r="ONN224" s="863"/>
      <c r="ONO224" s="861"/>
      <c r="ONP224" s="862"/>
      <c r="ONQ224" s="862"/>
      <c r="ONR224" s="862"/>
      <c r="ONS224" s="862"/>
      <c r="ONT224" s="863"/>
      <c r="ONU224" s="861"/>
      <c r="ONV224" s="862"/>
      <c r="ONW224" s="862"/>
      <c r="ONX224" s="862"/>
      <c r="ONY224" s="862"/>
      <c r="ONZ224" s="863"/>
      <c r="OOA224" s="861"/>
      <c r="OOB224" s="862"/>
      <c r="OOC224" s="862"/>
      <c r="OOD224" s="862"/>
      <c r="OOE224" s="862"/>
      <c r="OOF224" s="863"/>
      <c r="OOG224" s="861"/>
      <c r="OOH224" s="862"/>
      <c r="OOI224" s="862"/>
      <c r="OOJ224" s="862"/>
      <c r="OOK224" s="862"/>
      <c r="OOL224" s="863"/>
      <c r="OOM224" s="861"/>
      <c r="OON224" s="862"/>
      <c r="OOO224" s="862"/>
      <c r="OOP224" s="862"/>
      <c r="OOQ224" s="862"/>
      <c r="OOR224" s="863"/>
      <c r="OOS224" s="861"/>
      <c r="OOT224" s="862"/>
      <c r="OOU224" s="862"/>
      <c r="OOV224" s="862"/>
      <c r="OOW224" s="862"/>
      <c r="OOX224" s="863"/>
      <c r="OOY224" s="861"/>
      <c r="OOZ224" s="862"/>
      <c r="OPA224" s="862"/>
      <c r="OPB224" s="862"/>
      <c r="OPC224" s="862"/>
      <c r="OPD224" s="863"/>
      <c r="OPE224" s="861"/>
      <c r="OPF224" s="862"/>
      <c r="OPG224" s="862"/>
      <c r="OPH224" s="862"/>
      <c r="OPI224" s="862"/>
      <c r="OPJ224" s="863"/>
      <c r="OPK224" s="861"/>
      <c r="OPL224" s="862"/>
      <c r="OPM224" s="862"/>
      <c r="OPN224" s="862"/>
      <c r="OPO224" s="862"/>
      <c r="OPP224" s="863"/>
      <c r="OPQ224" s="861"/>
      <c r="OPR224" s="862"/>
      <c r="OPS224" s="862"/>
      <c r="OPT224" s="862"/>
      <c r="OPU224" s="862"/>
      <c r="OPV224" s="863"/>
      <c r="OPW224" s="861"/>
      <c r="OPX224" s="862"/>
      <c r="OPY224" s="862"/>
      <c r="OPZ224" s="862"/>
      <c r="OQA224" s="862"/>
      <c r="OQB224" s="863"/>
      <c r="OQC224" s="861"/>
      <c r="OQD224" s="862"/>
      <c r="OQE224" s="862"/>
      <c r="OQF224" s="862"/>
      <c r="OQG224" s="862"/>
      <c r="OQH224" s="863"/>
      <c r="OQI224" s="861"/>
      <c r="OQJ224" s="862"/>
      <c r="OQK224" s="862"/>
      <c r="OQL224" s="862"/>
      <c r="OQM224" s="862"/>
      <c r="OQN224" s="863"/>
      <c r="OQO224" s="861"/>
      <c r="OQP224" s="862"/>
      <c r="OQQ224" s="862"/>
      <c r="OQR224" s="862"/>
      <c r="OQS224" s="862"/>
      <c r="OQT224" s="863"/>
      <c r="OQU224" s="861"/>
      <c r="OQV224" s="862"/>
      <c r="OQW224" s="862"/>
      <c r="OQX224" s="862"/>
      <c r="OQY224" s="862"/>
      <c r="OQZ224" s="863"/>
      <c r="ORA224" s="861"/>
      <c r="ORB224" s="862"/>
      <c r="ORC224" s="862"/>
      <c r="ORD224" s="862"/>
      <c r="ORE224" s="862"/>
      <c r="ORF224" s="863"/>
      <c r="ORG224" s="861"/>
      <c r="ORH224" s="862"/>
      <c r="ORI224" s="862"/>
      <c r="ORJ224" s="862"/>
      <c r="ORK224" s="862"/>
      <c r="ORL224" s="863"/>
      <c r="ORM224" s="861"/>
      <c r="ORN224" s="862"/>
      <c r="ORO224" s="862"/>
      <c r="ORP224" s="862"/>
      <c r="ORQ224" s="862"/>
      <c r="ORR224" s="863"/>
      <c r="ORS224" s="861"/>
      <c r="ORT224" s="862"/>
      <c r="ORU224" s="862"/>
      <c r="ORV224" s="862"/>
      <c r="ORW224" s="862"/>
      <c r="ORX224" s="863"/>
      <c r="ORY224" s="861"/>
      <c r="ORZ224" s="862"/>
      <c r="OSA224" s="862"/>
      <c r="OSB224" s="862"/>
      <c r="OSC224" s="862"/>
      <c r="OSD224" s="863"/>
      <c r="OSE224" s="861"/>
      <c r="OSF224" s="862"/>
      <c r="OSG224" s="862"/>
      <c r="OSH224" s="862"/>
      <c r="OSI224" s="862"/>
      <c r="OSJ224" s="863"/>
      <c r="OSK224" s="861"/>
      <c r="OSL224" s="862"/>
      <c r="OSM224" s="862"/>
      <c r="OSN224" s="862"/>
      <c r="OSO224" s="862"/>
      <c r="OSP224" s="863"/>
      <c r="OSQ224" s="861"/>
      <c r="OSR224" s="862"/>
      <c r="OSS224" s="862"/>
      <c r="OST224" s="862"/>
      <c r="OSU224" s="862"/>
      <c r="OSV224" s="863"/>
      <c r="OSW224" s="861"/>
      <c r="OSX224" s="862"/>
      <c r="OSY224" s="862"/>
      <c r="OSZ224" s="862"/>
      <c r="OTA224" s="862"/>
      <c r="OTB224" s="863"/>
      <c r="OTC224" s="861"/>
      <c r="OTD224" s="862"/>
      <c r="OTE224" s="862"/>
      <c r="OTF224" s="862"/>
      <c r="OTG224" s="862"/>
      <c r="OTH224" s="863"/>
      <c r="OTI224" s="861"/>
      <c r="OTJ224" s="862"/>
      <c r="OTK224" s="862"/>
      <c r="OTL224" s="862"/>
      <c r="OTM224" s="862"/>
      <c r="OTN224" s="863"/>
      <c r="OTO224" s="861"/>
      <c r="OTP224" s="862"/>
      <c r="OTQ224" s="862"/>
      <c r="OTR224" s="862"/>
      <c r="OTS224" s="862"/>
      <c r="OTT224" s="863"/>
      <c r="OTU224" s="861"/>
      <c r="OTV224" s="862"/>
      <c r="OTW224" s="862"/>
      <c r="OTX224" s="862"/>
      <c r="OTY224" s="862"/>
      <c r="OTZ224" s="863"/>
      <c r="OUA224" s="861"/>
      <c r="OUB224" s="862"/>
      <c r="OUC224" s="862"/>
      <c r="OUD224" s="862"/>
      <c r="OUE224" s="862"/>
      <c r="OUF224" s="863"/>
      <c r="OUG224" s="861"/>
      <c r="OUH224" s="862"/>
      <c r="OUI224" s="862"/>
      <c r="OUJ224" s="862"/>
      <c r="OUK224" s="862"/>
      <c r="OUL224" s="863"/>
      <c r="OUM224" s="861"/>
      <c r="OUN224" s="862"/>
      <c r="OUO224" s="862"/>
      <c r="OUP224" s="862"/>
      <c r="OUQ224" s="862"/>
      <c r="OUR224" s="863"/>
      <c r="OUS224" s="861"/>
      <c r="OUT224" s="862"/>
      <c r="OUU224" s="862"/>
      <c r="OUV224" s="862"/>
      <c r="OUW224" s="862"/>
      <c r="OUX224" s="863"/>
      <c r="OUY224" s="861"/>
      <c r="OUZ224" s="862"/>
      <c r="OVA224" s="862"/>
      <c r="OVB224" s="862"/>
      <c r="OVC224" s="862"/>
      <c r="OVD224" s="863"/>
      <c r="OVE224" s="861"/>
      <c r="OVF224" s="862"/>
      <c r="OVG224" s="862"/>
      <c r="OVH224" s="862"/>
      <c r="OVI224" s="862"/>
      <c r="OVJ224" s="863"/>
      <c r="OVK224" s="861"/>
      <c r="OVL224" s="862"/>
      <c r="OVM224" s="862"/>
      <c r="OVN224" s="862"/>
      <c r="OVO224" s="862"/>
      <c r="OVP224" s="863"/>
      <c r="OVQ224" s="861"/>
      <c r="OVR224" s="862"/>
      <c r="OVS224" s="862"/>
      <c r="OVT224" s="862"/>
      <c r="OVU224" s="862"/>
      <c r="OVV224" s="863"/>
      <c r="OVW224" s="861"/>
      <c r="OVX224" s="862"/>
      <c r="OVY224" s="862"/>
      <c r="OVZ224" s="862"/>
      <c r="OWA224" s="862"/>
      <c r="OWB224" s="863"/>
      <c r="OWC224" s="861"/>
      <c r="OWD224" s="862"/>
      <c r="OWE224" s="862"/>
      <c r="OWF224" s="862"/>
      <c r="OWG224" s="862"/>
      <c r="OWH224" s="863"/>
      <c r="OWI224" s="861"/>
      <c r="OWJ224" s="862"/>
      <c r="OWK224" s="862"/>
      <c r="OWL224" s="862"/>
      <c r="OWM224" s="862"/>
      <c r="OWN224" s="863"/>
      <c r="OWO224" s="861"/>
      <c r="OWP224" s="862"/>
      <c r="OWQ224" s="862"/>
      <c r="OWR224" s="862"/>
      <c r="OWS224" s="862"/>
      <c r="OWT224" s="863"/>
      <c r="OWU224" s="861"/>
      <c r="OWV224" s="862"/>
      <c r="OWW224" s="862"/>
      <c r="OWX224" s="862"/>
      <c r="OWY224" s="862"/>
      <c r="OWZ224" s="863"/>
      <c r="OXA224" s="861"/>
      <c r="OXB224" s="862"/>
      <c r="OXC224" s="862"/>
      <c r="OXD224" s="862"/>
      <c r="OXE224" s="862"/>
      <c r="OXF224" s="863"/>
      <c r="OXG224" s="861"/>
      <c r="OXH224" s="862"/>
      <c r="OXI224" s="862"/>
      <c r="OXJ224" s="862"/>
      <c r="OXK224" s="862"/>
      <c r="OXL224" s="863"/>
      <c r="OXM224" s="861"/>
      <c r="OXN224" s="862"/>
      <c r="OXO224" s="862"/>
      <c r="OXP224" s="862"/>
      <c r="OXQ224" s="862"/>
      <c r="OXR224" s="863"/>
      <c r="OXS224" s="861"/>
      <c r="OXT224" s="862"/>
      <c r="OXU224" s="862"/>
      <c r="OXV224" s="862"/>
      <c r="OXW224" s="862"/>
      <c r="OXX224" s="863"/>
      <c r="OXY224" s="861"/>
      <c r="OXZ224" s="862"/>
      <c r="OYA224" s="862"/>
      <c r="OYB224" s="862"/>
      <c r="OYC224" s="862"/>
      <c r="OYD224" s="863"/>
      <c r="OYE224" s="861"/>
      <c r="OYF224" s="862"/>
      <c r="OYG224" s="862"/>
      <c r="OYH224" s="862"/>
      <c r="OYI224" s="862"/>
      <c r="OYJ224" s="863"/>
      <c r="OYK224" s="861"/>
      <c r="OYL224" s="862"/>
      <c r="OYM224" s="862"/>
      <c r="OYN224" s="862"/>
      <c r="OYO224" s="862"/>
      <c r="OYP224" s="863"/>
      <c r="OYQ224" s="861"/>
      <c r="OYR224" s="862"/>
      <c r="OYS224" s="862"/>
      <c r="OYT224" s="862"/>
      <c r="OYU224" s="862"/>
      <c r="OYV224" s="863"/>
      <c r="OYW224" s="861"/>
      <c r="OYX224" s="862"/>
      <c r="OYY224" s="862"/>
      <c r="OYZ224" s="862"/>
      <c r="OZA224" s="862"/>
      <c r="OZB224" s="863"/>
      <c r="OZC224" s="861"/>
      <c r="OZD224" s="862"/>
      <c r="OZE224" s="862"/>
      <c r="OZF224" s="862"/>
      <c r="OZG224" s="862"/>
      <c r="OZH224" s="863"/>
      <c r="OZI224" s="861"/>
      <c r="OZJ224" s="862"/>
      <c r="OZK224" s="862"/>
      <c r="OZL224" s="862"/>
      <c r="OZM224" s="862"/>
      <c r="OZN224" s="863"/>
      <c r="OZO224" s="861"/>
      <c r="OZP224" s="862"/>
      <c r="OZQ224" s="862"/>
      <c r="OZR224" s="862"/>
      <c r="OZS224" s="862"/>
      <c r="OZT224" s="863"/>
      <c r="OZU224" s="861"/>
      <c r="OZV224" s="862"/>
      <c r="OZW224" s="862"/>
      <c r="OZX224" s="862"/>
      <c r="OZY224" s="862"/>
      <c r="OZZ224" s="863"/>
      <c r="PAA224" s="861"/>
      <c r="PAB224" s="862"/>
      <c r="PAC224" s="862"/>
      <c r="PAD224" s="862"/>
      <c r="PAE224" s="862"/>
      <c r="PAF224" s="863"/>
      <c r="PAG224" s="861"/>
      <c r="PAH224" s="862"/>
      <c r="PAI224" s="862"/>
      <c r="PAJ224" s="862"/>
      <c r="PAK224" s="862"/>
      <c r="PAL224" s="863"/>
      <c r="PAM224" s="861"/>
      <c r="PAN224" s="862"/>
      <c r="PAO224" s="862"/>
      <c r="PAP224" s="862"/>
      <c r="PAQ224" s="862"/>
      <c r="PAR224" s="863"/>
      <c r="PAS224" s="861"/>
      <c r="PAT224" s="862"/>
      <c r="PAU224" s="862"/>
      <c r="PAV224" s="862"/>
      <c r="PAW224" s="862"/>
      <c r="PAX224" s="863"/>
      <c r="PAY224" s="861"/>
      <c r="PAZ224" s="862"/>
      <c r="PBA224" s="862"/>
      <c r="PBB224" s="862"/>
      <c r="PBC224" s="862"/>
      <c r="PBD224" s="863"/>
      <c r="PBE224" s="861"/>
      <c r="PBF224" s="862"/>
      <c r="PBG224" s="862"/>
      <c r="PBH224" s="862"/>
      <c r="PBI224" s="862"/>
      <c r="PBJ224" s="863"/>
      <c r="PBK224" s="861"/>
      <c r="PBL224" s="862"/>
      <c r="PBM224" s="862"/>
      <c r="PBN224" s="862"/>
      <c r="PBO224" s="862"/>
      <c r="PBP224" s="863"/>
      <c r="PBQ224" s="861"/>
      <c r="PBR224" s="862"/>
      <c r="PBS224" s="862"/>
      <c r="PBT224" s="862"/>
      <c r="PBU224" s="862"/>
      <c r="PBV224" s="863"/>
      <c r="PBW224" s="861"/>
      <c r="PBX224" s="862"/>
      <c r="PBY224" s="862"/>
      <c r="PBZ224" s="862"/>
      <c r="PCA224" s="862"/>
      <c r="PCB224" s="863"/>
      <c r="PCC224" s="861"/>
      <c r="PCD224" s="862"/>
      <c r="PCE224" s="862"/>
      <c r="PCF224" s="862"/>
      <c r="PCG224" s="862"/>
      <c r="PCH224" s="863"/>
      <c r="PCI224" s="861"/>
      <c r="PCJ224" s="862"/>
      <c r="PCK224" s="862"/>
      <c r="PCL224" s="862"/>
      <c r="PCM224" s="862"/>
      <c r="PCN224" s="863"/>
      <c r="PCO224" s="861"/>
      <c r="PCP224" s="862"/>
      <c r="PCQ224" s="862"/>
      <c r="PCR224" s="862"/>
      <c r="PCS224" s="862"/>
      <c r="PCT224" s="863"/>
      <c r="PCU224" s="861"/>
      <c r="PCV224" s="862"/>
      <c r="PCW224" s="862"/>
      <c r="PCX224" s="862"/>
      <c r="PCY224" s="862"/>
      <c r="PCZ224" s="863"/>
      <c r="PDA224" s="861"/>
      <c r="PDB224" s="862"/>
      <c r="PDC224" s="862"/>
      <c r="PDD224" s="862"/>
      <c r="PDE224" s="862"/>
      <c r="PDF224" s="863"/>
      <c r="PDG224" s="861"/>
      <c r="PDH224" s="862"/>
      <c r="PDI224" s="862"/>
      <c r="PDJ224" s="862"/>
      <c r="PDK224" s="862"/>
      <c r="PDL224" s="863"/>
      <c r="PDM224" s="861"/>
      <c r="PDN224" s="862"/>
      <c r="PDO224" s="862"/>
      <c r="PDP224" s="862"/>
      <c r="PDQ224" s="862"/>
      <c r="PDR224" s="863"/>
      <c r="PDS224" s="861"/>
      <c r="PDT224" s="862"/>
      <c r="PDU224" s="862"/>
      <c r="PDV224" s="862"/>
      <c r="PDW224" s="862"/>
      <c r="PDX224" s="863"/>
      <c r="PDY224" s="861"/>
      <c r="PDZ224" s="862"/>
      <c r="PEA224" s="862"/>
      <c r="PEB224" s="862"/>
      <c r="PEC224" s="862"/>
      <c r="PED224" s="863"/>
      <c r="PEE224" s="861"/>
      <c r="PEF224" s="862"/>
      <c r="PEG224" s="862"/>
      <c r="PEH224" s="862"/>
      <c r="PEI224" s="862"/>
      <c r="PEJ224" s="863"/>
      <c r="PEK224" s="861"/>
      <c r="PEL224" s="862"/>
      <c r="PEM224" s="862"/>
      <c r="PEN224" s="862"/>
      <c r="PEO224" s="862"/>
      <c r="PEP224" s="863"/>
      <c r="PEQ224" s="861"/>
      <c r="PER224" s="862"/>
      <c r="PES224" s="862"/>
      <c r="PET224" s="862"/>
      <c r="PEU224" s="862"/>
      <c r="PEV224" s="863"/>
      <c r="PEW224" s="861"/>
      <c r="PEX224" s="862"/>
      <c r="PEY224" s="862"/>
      <c r="PEZ224" s="862"/>
      <c r="PFA224" s="862"/>
      <c r="PFB224" s="863"/>
      <c r="PFC224" s="861"/>
      <c r="PFD224" s="862"/>
      <c r="PFE224" s="862"/>
      <c r="PFF224" s="862"/>
      <c r="PFG224" s="862"/>
      <c r="PFH224" s="863"/>
      <c r="PFI224" s="861"/>
      <c r="PFJ224" s="862"/>
      <c r="PFK224" s="862"/>
      <c r="PFL224" s="862"/>
      <c r="PFM224" s="862"/>
      <c r="PFN224" s="863"/>
      <c r="PFO224" s="861"/>
      <c r="PFP224" s="862"/>
      <c r="PFQ224" s="862"/>
      <c r="PFR224" s="862"/>
      <c r="PFS224" s="862"/>
      <c r="PFT224" s="863"/>
      <c r="PFU224" s="861"/>
      <c r="PFV224" s="862"/>
      <c r="PFW224" s="862"/>
      <c r="PFX224" s="862"/>
      <c r="PFY224" s="862"/>
      <c r="PFZ224" s="863"/>
      <c r="PGA224" s="861"/>
      <c r="PGB224" s="862"/>
      <c r="PGC224" s="862"/>
      <c r="PGD224" s="862"/>
      <c r="PGE224" s="862"/>
      <c r="PGF224" s="863"/>
      <c r="PGG224" s="861"/>
      <c r="PGH224" s="862"/>
      <c r="PGI224" s="862"/>
      <c r="PGJ224" s="862"/>
      <c r="PGK224" s="862"/>
      <c r="PGL224" s="863"/>
      <c r="PGM224" s="861"/>
      <c r="PGN224" s="862"/>
      <c r="PGO224" s="862"/>
      <c r="PGP224" s="862"/>
      <c r="PGQ224" s="862"/>
      <c r="PGR224" s="863"/>
      <c r="PGS224" s="861"/>
      <c r="PGT224" s="862"/>
      <c r="PGU224" s="862"/>
      <c r="PGV224" s="862"/>
      <c r="PGW224" s="862"/>
      <c r="PGX224" s="863"/>
      <c r="PGY224" s="861"/>
      <c r="PGZ224" s="862"/>
      <c r="PHA224" s="862"/>
      <c r="PHB224" s="862"/>
      <c r="PHC224" s="862"/>
      <c r="PHD224" s="863"/>
      <c r="PHE224" s="861"/>
      <c r="PHF224" s="862"/>
      <c r="PHG224" s="862"/>
      <c r="PHH224" s="862"/>
      <c r="PHI224" s="862"/>
      <c r="PHJ224" s="863"/>
      <c r="PHK224" s="861"/>
      <c r="PHL224" s="862"/>
      <c r="PHM224" s="862"/>
      <c r="PHN224" s="862"/>
      <c r="PHO224" s="862"/>
      <c r="PHP224" s="863"/>
      <c r="PHQ224" s="861"/>
      <c r="PHR224" s="862"/>
      <c r="PHS224" s="862"/>
      <c r="PHT224" s="862"/>
      <c r="PHU224" s="862"/>
      <c r="PHV224" s="863"/>
      <c r="PHW224" s="861"/>
      <c r="PHX224" s="862"/>
      <c r="PHY224" s="862"/>
      <c r="PHZ224" s="862"/>
      <c r="PIA224" s="862"/>
      <c r="PIB224" s="863"/>
      <c r="PIC224" s="861"/>
      <c r="PID224" s="862"/>
      <c r="PIE224" s="862"/>
      <c r="PIF224" s="862"/>
      <c r="PIG224" s="862"/>
      <c r="PIH224" s="863"/>
      <c r="PII224" s="861"/>
      <c r="PIJ224" s="862"/>
      <c r="PIK224" s="862"/>
      <c r="PIL224" s="862"/>
      <c r="PIM224" s="862"/>
      <c r="PIN224" s="863"/>
      <c r="PIO224" s="861"/>
      <c r="PIP224" s="862"/>
      <c r="PIQ224" s="862"/>
      <c r="PIR224" s="862"/>
      <c r="PIS224" s="862"/>
      <c r="PIT224" s="863"/>
      <c r="PIU224" s="861"/>
      <c r="PIV224" s="862"/>
      <c r="PIW224" s="862"/>
      <c r="PIX224" s="862"/>
      <c r="PIY224" s="862"/>
      <c r="PIZ224" s="863"/>
      <c r="PJA224" s="861"/>
      <c r="PJB224" s="862"/>
      <c r="PJC224" s="862"/>
      <c r="PJD224" s="862"/>
      <c r="PJE224" s="862"/>
      <c r="PJF224" s="863"/>
      <c r="PJG224" s="861"/>
      <c r="PJH224" s="862"/>
      <c r="PJI224" s="862"/>
      <c r="PJJ224" s="862"/>
      <c r="PJK224" s="862"/>
      <c r="PJL224" s="863"/>
      <c r="PJM224" s="861"/>
      <c r="PJN224" s="862"/>
      <c r="PJO224" s="862"/>
      <c r="PJP224" s="862"/>
      <c r="PJQ224" s="862"/>
      <c r="PJR224" s="863"/>
      <c r="PJS224" s="861"/>
      <c r="PJT224" s="862"/>
      <c r="PJU224" s="862"/>
      <c r="PJV224" s="862"/>
      <c r="PJW224" s="862"/>
      <c r="PJX224" s="863"/>
      <c r="PJY224" s="861"/>
      <c r="PJZ224" s="862"/>
      <c r="PKA224" s="862"/>
      <c r="PKB224" s="862"/>
      <c r="PKC224" s="862"/>
      <c r="PKD224" s="863"/>
      <c r="PKE224" s="861"/>
      <c r="PKF224" s="862"/>
      <c r="PKG224" s="862"/>
      <c r="PKH224" s="862"/>
      <c r="PKI224" s="862"/>
      <c r="PKJ224" s="863"/>
      <c r="PKK224" s="861"/>
      <c r="PKL224" s="862"/>
      <c r="PKM224" s="862"/>
      <c r="PKN224" s="862"/>
      <c r="PKO224" s="862"/>
      <c r="PKP224" s="863"/>
      <c r="PKQ224" s="861"/>
      <c r="PKR224" s="862"/>
      <c r="PKS224" s="862"/>
      <c r="PKT224" s="862"/>
      <c r="PKU224" s="862"/>
      <c r="PKV224" s="863"/>
      <c r="PKW224" s="861"/>
      <c r="PKX224" s="862"/>
      <c r="PKY224" s="862"/>
      <c r="PKZ224" s="862"/>
      <c r="PLA224" s="862"/>
      <c r="PLB224" s="863"/>
      <c r="PLC224" s="861"/>
      <c r="PLD224" s="862"/>
      <c r="PLE224" s="862"/>
      <c r="PLF224" s="862"/>
      <c r="PLG224" s="862"/>
      <c r="PLH224" s="863"/>
      <c r="PLI224" s="861"/>
      <c r="PLJ224" s="862"/>
      <c r="PLK224" s="862"/>
      <c r="PLL224" s="862"/>
      <c r="PLM224" s="862"/>
      <c r="PLN224" s="863"/>
      <c r="PLO224" s="861"/>
      <c r="PLP224" s="862"/>
      <c r="PLQ224" s="862"/>
      <c r="PLR224" s="862"/>
      <c r="PLS224" s="862"/>
      <c r="PLT224" s="863"/>
      <c r="PLU224" s="861"/>
      <c r="PLV224" s="862"/>
      <c r="PLW224" s="862"/>
      <c r="PLX224" s="862"/>
      <c r="PLY224" s="862"/>
      <c r="PLZ224" s="863"/>
      <c r="PMA224" s="861"/>
      <c r="PMB224" s="862"/>
      <c r="PMC224" s="862"/>
      <c r="PMD224" s="862"/>
      <c r="PME224" s="862"/>
      <c r="PMF224" s="863"/>
      <c r="PMG224" s="861"/>
      <c r="PMH224" s="862"/>
      <c r="PMI224" s="862"/>
      <c r="PMJ224" s="862"/>
      <c r="PMK224" s="862"/>
      <c r="PML224" s="863"/>
      <c r="PMM224" s="861"/>
      <c r="PMN224" s="862"/>
      <c r="PMO224" s="862"/>
      <c r="PMP224" s="862"/>
      <c r="PMQ224" s="862"/>
      <c r="PMR224" s="863"/>
      <c r="PMS224" s="861"/>
      <c r="PMT224" s="862"/>
      <c r="PMU224" s="862"/>
      <c r="PMV224" s="862"/>
      <c r="PMW224" s="862"/>
      <c r="PMX224" s="863"/>
      <c r="PMY224" s="861"/>
      <c r="PMZ224" s="862"/>
      <c r="PNA224" s="862"/>
      <c r="PNB224" s="862"/>
      <c r="PNC224" s="862"/>
      <c r="PND224" s="863"/>
      <c r="PNE224" s="861"/>
      <c r="PNF224" s="862"/>
      <c r="PNG224" s="862"/>
      <c r="PNH224" s="862"/>
      <c r="PNI224" s="862"/>
      <c r="PNJ224" s="863"/>
      <c r="PNK224" s="861"/>
      <c r="PNL224" s="862"/>
      <c r="PNM224" s="862"/>
      <c r="PNN224" s="862"/>
      <c r="PNO224" s="862"/>
      <c r="PNP224" s="863"/>
      <c r="PNQ224" s="861"/>
      <c r="PNR224" s="862"/>
      <c r="PNS224" s="862"/>
      <c r="PNT224" s="862"/>
      <c r="PNU224" s="862"/>
      <c r="PNV224" s="863"/>
      <c r="PNW224" s="861"/>
      <c r="PNX224" s="862"/>
      <c r="PNY224" s="862"/>
      <c r="PNZ224" s="862"/>
      <c r="POA224" s="862"/>
      <c r="POB224" s="863"/>
      <c r="POC224" s="861"/>
      <c r="POD224" s="862"/>
      <c r="POE224" s="862"/>
      <c r="POF224" s="862"/>
      <c r="POG224" s="862"/>
      <c r="POH224" s="863"/>
      <c r="POI224" s="861"/>
      <c r="POJ224" s="862"/>
      <c r="POK224" s="862"/>
      <c r="POL224" s="862"/>
      <c r="POM224" s="862"/>
      <c r="PON224" s="863"/>
      <c r="POO224" s="861"/>
      <c r="POP224" s="862"/>
      <c r="POQ224" s="862"/>
      <c r="POR224" s="862"/>
      <c r="POS224" s="862"/>
      <c r="POT224" s="863"/>
      <c r="POU224" s="861"/>
      <c r="POV224" s="862"/>
      <c r="POW224" s="862"/>
      <c r="POX224" s="862"/>
      <c r="POY224" s="862"/>
      <c r="POZ224" s="863"/>
      <c r="PPA224" s="861"/>
      <c r="PPB224" s="862"/>
      <c r="PPC224" s="862"/>
      <c r="PPD224" s="862"/>
      <c r="PPE224" s="862"/>
      <c r="PPF224" s="863"/>
      <c r="PPG224" s="861"/>
      <c r="PPH224" s="862"/>
      <c r="PPI224" s="862"/>
      <c r="PPJ224" s="862"/>
      <c r="PPK224" s="862"/>
      <c r="PPL224" s="863"/>
      <c r="PPM224" s="861"/>
      <c r="PPN224" s="862"/>
      <c r="PPO224" s="862"/>
      <c r="PPP224" s="862"/>
      <c r="PPQ224" s="862"/>
      <c r="PPR224" s="863"/>
      <c r="PPS224" s="861"/>
      <c r="PPT224" s="862"/>
      <c r="PPU224" s="862"/>
      <c r="PPV224" s="862"/>
      <c r="PPW224" s="862"/>
      <c r="PPX224" s="863"/>
      <c r="PPY224" s="861"/>
      <c r="PPZ224" s="862"/>
      <c r="PQA224" s="862"/>
      <c r="PQB224" s="862"/>
      <c r="PQC224" s="862"/>
      <c r="PQD224" s="863"/>
      <c r="PQE224" s="861"/>
      <c r="PQF224" s="862"/>
      <c r="PQG224" s="862"/>
      <c r="PQH224" s="862"/>
      <c r="PQI224" s="862"/>
      <c r="PQJ224" s="863"/>
      <c r="PQK224" s="861"/>
      <c r="PQL224" s="862"/>
      <c r="PQM224" s="862"/>
      <c r="PQN224" s="862"/>
      <c r="PQO224" s="862"/>
      <c r="PQP224" s="863"/>
      <c r="PQQ224" s="861"/>
      <c r="PQR224" s="862"/>
      <c r="PQS224" s="862"/>
      <c r="PQT224" s="862"/>
      <c r="PQU224" s="862"/>
      <c r="PQV224" s="863"/>
      <c r="PQW224" s="861"/>
      <c r="PQX224" s="862"/>
      <c r="PQY224" s="862"/>
      <c r="PQZ224" s="862"/>
      <c r="PRA224" s="862"/>
      <c r="PRB224" s="863"/>
      <c r="PRC224" s="861"/>
      <c r="PRD224" s="862"/>
      <c r="PRE224" s="862"/>
      <c r="PRF224" s="862"/>
      <c r="PRG224" s="862"/>
      <c r="PRH224" s="863"/>
      <c r="PRI224" s="861"/>
      <c r="PRJ224" s="862"/>
      <c r="PRK224" s="862"/>
      <c r="PRL224" s="862"/>
      <c r="PRM224" s="862"/>
      <c r="PRN224" s="863"/>
      <c r="PRO224" s="861"/>
      <c r="PRP224" s="862"/>
      <c r="PRQ224" s="862"/>
      <c r="PRR224" s="862"/>
      <c r="PRS224" s="862"/>
      <c r="PRT224" s="863"/>
      <c r="PRU224" s="861"/>
      <c r="PRV224" s="862"/>
      <c r="PRW224" s="862"/>
      <c r="PRX224" s="862"/>
      <c r="PRY224" s="862"/>
      <c r="PRZ224" s="863"/>
      <c r="PSA224" s="861"/>
      <c r="PSB224" s="862"/>
      <c r="PSC224" s="862"/>
      <c r="PSD224" s="862"/>
      <c r="PSE224" s="862"/>
      <c r="PSF224" s="863"/>
      <c r="PSG224" s="861"/>
      <c r="PSH224" s="862"/>
      <c r="PSI224" s="862"/>
      <c r="PSJ224" s="862"/>
      <c r="PSK224" s="862"/>
      <c r="PSL224" s="863"/>
      <c r="PSM224" s="861"/>
      <c r="PSN224" s="862"/>
      <c r="PSO224" s="862"/>
      <c r="PSP224" s="862"/>
      <c r="PSQ224" s="862"/>
      <c r="PSR224" s="863"/>
      <c r="PSS224" s="861"/>
      <c r="PST224" s="862"/>
      <c r="PSU224" s="862"/>
      <c r="PSV224" s="862"/>
      <c r="PSW224" s="862"/>
      <c r="PSX224" s="863"/>
      <c r="PSY224" s="861"/>
      <c r="PSZ224" s="862"/>
      <c r="PTA224" s="862"/>
      <c r="PTB224" s="862"/>
      <c r="PTC224" s="862"/>
      <c r="PTD224" s="863"/>
      <c r="PTE224" s="861"/>
      <c r="PTF224" s="862"/>
      <c r="PTG224" s="862"/>
      <c r="PTH224" s="862"/>
      <c r="PTI224" s="862"/>
      <c r="PTJ224" s="863"/>
      <c r="PTK224" s="861"/>
      <c r="PTL224" s="862"/>
      <c r="PTM224" s="862"/>
      <c r="PTN224" s="862"/>
      <c r="PTO224" s="862"/>
      <c r="PTP224" s="863"/>
      <c r="PTQ224" s="861"/>
      <c r="PTR224" s="862"/>
      <c r="PTS224" s="862"/>
      <c r="PTT224" s="862"/>
      <c r="PTU224" s="862"/>
      <c r="PTV224" s="863"/>
      <c r="PTW224" s="861"/>
      <c r="PTX224" s="862"/>
      <c r="PTY224" s="862"/>
      <c r="PTZ224" s="862"/>
      <c r="PUA224" s="862"/>
      <c r="PUB224" s="863"/>
      <c r="PUC224" s="861"/>
      <c r="PUD224" s="862"/>
      <c r="PUE224" s="862"/>
      <c r="PUF224" s="862"/>
      <c r="PUG224" s="862"/>
      <c r="PUH224" s="863"/>
      <c r="PUI224" s="861"/>
      <c r="PUJ224" s="862"/>
      <c r="PUK224" s="862"/>
      <c r="PUL224" s="862"/>
      <c r="PUM224" s="862"/>
      <c r="PUN224" s="863"/>
      <c r="PUO224" s="861"/>
      <c r="PUP224" s="862"/>
      <c r="PUQ224" s="862"/>
      <c r="PUR224" s="862"/>
      <c r="PUS224" s="862"/>
      <c r="PUT224" s="863"/>
      <c r="PUU224" s="861"/>
      <c r="PUV224" s="862"/>
      <c r="PUW224" s="862"/>
      <c r="PUX224" s="862"/>
      <c r="PUY224" s="862"/>
      <c r="PUZ224" s="863"/>
      <c r="PVA224" s="861"/>
      <c r="PVB224" s="862"/>
      <c r="PVC224" s="862"/>
      <c r="PVD224" s="862"/>
      <c r="PVE224" s="862"/>
      <c r="PVF224" s="863"/>
      <c r="PVG224" s="861"/>
      <c r="PVH224" s="862"/>
      <c r="PVI224" s="862"/>
      <c r="PVJ224" s="862"/>
      <c r="PVK224" s="862"/>
      <c r="PVL224" s="863"/>
      <c r="PVM224" s="861"/>
      <c r="PVN224" s="862"/>
      <c r="PVO224" s="862"/>
      <c r="PVP224" s="862"/>
      <c r="PVQ224" s="862"/>
      <c r="PVR224" s="863"/>
      <c r="PVS224" s="861"/>
      <c r="PVT224" s="862"/>
      <c r="PVU224" s="862"/>
      <c r="PVV224" s="862"/>
      <c r="PVW224" s="862"/>
      <c r="PVX224" s="863"/>
      <c r="PVY224" s="861"/>
      <c r="PVZ224" s="862"/>
      <c r="PWA224" s="862"/>
      <c r="PWB224" s="862"/>
      <c r="PWC224" s="862"/>
      <c r="PWD224" s="863"/>
      <c r="PWE224" s="861"/>
      <c r="PWF224" s="862"/>
      <c r="PWG224" s="862"/>
      <c r="PWH224" s="862"/>
      <c r="PWI224" s="862"/>
      <c r="PWJ224" s="863"/>
      <c r="PWK224" s="861"/>
      <c r="PWL224" s="862"/>
      <c r="PWM224" s="862"/>
      <c r="PWN224" s="862"/>
      <c r="PWO224" s="862"/>
      <c r="PWP224" s="863"/>
      <c r="PWQ224" s="861"/>
      <c r="PWR224" s="862"/>
      <c r="PWS224" s="862"/>
      <c r="PWT224" s="862"/>
      <c r="PWU224" s="862"/>
      <c r="PWV224" s="863"/>
      <c r="PWW224" s="861"/>
      <c r="PWX224" s="862"/>
      <c r="PWY224" s="862"/>
      <c r="PWZ224" s="862"/>
      <c r="PXA224" s="862"/>
      <c r="PXB224" s="863"/>
      <c r="PXC224" s="861"/>
      <c r="PXD224" s="862"/>
      <c r="PXE224" s="862"/>
      <c r="PXF224" s="862"/>
      <c r="PXG224" s="862"/>
      <c r="PXH224" s="863"/>
      <c r="PXI224" s="861"/>
      <c r="PXJ224" s="862"/>
      <c r="PXK224" s="862"/>
      <c r="PXL224" s="862"/>
      <c r="PXM224" s="862"/>
      <c r="PXN224" s="863"/>
      <c r="PXO224" s="861"/>
      <c r="PXP224" s="862"/>
      <c r="PXQ224" s="862"/>
      <c r="PXR224" s="862"/>
      <c r="PXS224" s="862"/>
      <c r="PXT224" s="863"/>
      <c r="PXU224" s="861"/>
      <c r="PXV224" s="862"/>
      <c r="PXW224" s="862"/>
      <c r="PXX224" s="862"/>
      <c r="PXY224" s="862"/>
      <c r="PXZ224" s="863"/>
      <c r="PYA224" s="861"/>
      <c r="PYB224" s="862"/>
      <c r="PYC224" s="862"/>
      <c r="PYD224" s="862"/>
      <c r="PYE224" s="862"/>
      <c r="PYF224" s="863"/>
      <c r="PYG224" s="861"/>
      <c r="PYH224" s="862"/>
      <c r="PYI224" s="862"/>
      <c r="PYJ224" s="862"/>
      <c r="PYK224" s="862"/>
      <c r="PYL224" s="863"/>
      <c r="PYM224" s="861"/>
      <c r="PYN224" s="862"/>
      <c r="PYO224" s="862"/>
      <c r="PYP224" s="862"/>
      <c r="PYQ224" s="862"/>
      <c r="PYR224" s="863"/>
      <c r="PYS224" s="861"/>
      <c r="PYT224" s="862"/>
      <c r="PYU224" s="862"/>
      <c r="PYV224" s="862"/>
      <c r="PYW224" s="862"/>
      <c r="PYX224" s="863"/>
      <c r="PYY224" s="861"/>
      <c r="PYZ224" s="862"/>
      <c r="PZA224" s="862"/>
      <c r="PZB224" s="862"/>
      <c r="PZC224" s="862"/>
      <c r="PZD224" s="863"/>
      <c r="PZE224" s="861"/>
      <c r="PZF224" s="862"/>
      <c r="PZG224" s="862"/>
      <c r="PZH224" s="862"/>
      <c r="PZI224" s="862"/>
      <c r="PZJ224" s="863"/>
      <c r="PZK224" s="861"/>
      <c r="PZL224" s="862"/>
      <c r="PZM224" s="862"/>
      <c r="PZN224" s="862"/>
      <c r="PZO224" s="862"/>
      <c r="PZP224" s="863"/>
      <c r="PZQ224" s="861"/>
      <c r="PZR224" s="862"/>
      <c r="PZS224" s="862"/>
      <c r="PZT224" s="862"/>
      <c r="PZU224" s="862"/>
      <c r="PZV224" s="863"/>
      <c r="PZW224" s="861"/>
      <c r="PZX224" s="862"/>
      <c r="PZY224" s="862"/>
      <c r="PZZ224" s="862"/>
      <c r="QAA224" s="862"/>
      <c r="QAB224" s="863"/>
      <c r="QAC224" s="861"/>
      <c r="QAD224" s="862"/>
      <c r="QAE224" s="862"/>
      <c r="QAF224" s="862"/>
      <c r="QAG224" s="862"/>
      <c r="QAH224" s="863"/>
      <c r="QAI224" s="861"/>
      <c r="QAJ224" s="862"/>
      <c r="QAK224" s="862"/>
      <c r="QAL224" s="862"/>
      <c r="QAM224" s="862"/>
      <c r="QAN224" s="863"/>
      <c r="QAO224" s="861"/>
      <c r="QAP224" s="862"/>
      <c r="QAQ224" s="862"/>
      <c r="QAR224" s="862"/>
      <c r="QAS224" s="862"/>
      <c r="QAT224" s="863"/>
      <c r="QAU224" s="861"/>
      <c r="QAV224" s="862"/>
      <c r="QAW224" s="862"/>
      <c r="QAX224" s="862"/>
      <c r="QAY224" s="862"/>
      <c r="QAZ224" s="863"/>
      <c r="QBA224" s="861"/>
      <c r="QBB224" s="862"/>
      <c r="QBC224" s="862"/>
      <c r="QBD224" s="862"/>
      <c r="QBE224" s="862"/>
      <c r="QBF224" s="863"/>
      <c r="QBG224" s="861"/>
      <c r="QBH224" s="862"/>
      <c r="QBI224" s="862"/>
      <c r="QBJ224" s="862"/>
      <c r="QBK224" s="862"/>
      <c r="QBL224" s="863"/>
      <c r="QBM224" s="861"/>
      <c r="QBN224" s="862"/>
      <c r="QBO224" s="862"/>
      <c r="QBP224" s="862"/>
      <c r="QBQ224" s="862"/>
      <c r="QBR224" s="863"/>
      <c r="QBS224" s="861"/>
      <c r="QBT224" s="862"/>
      <c r="QBU224" s="862"/>
      <c r="QBV224" s="862"/>
      <c r="QBW224" s="862"/>
      <c r="QBX224" s="863"/>
      <c r="QBY224" s="861"/>
      <c r="QBZ224" s="862"/>
      <c r="QCA224" s="862"/>
      <c r="QCB224" s="862"/>
      <c r="QCC224" s="862"/>
      <c r="QCD224" s="863"/>
      <c r="QCE224" s="861"/>
      <c r="QCF224" s="862"/>
      <c r="QCG224" s="862"/>
      <c r="QCH224" s="862"/>
      <c r="QCI224" s="862"/>
      <c r="QCJ224" s="863"/>
      <c r="QCK224" s="861"/>
      <c r="QCL224" s="862"/>
      <c r="QCM224" s="862"/>
      <c r="QCN224" s="862"/>
      <c r="QCO224" s="862"/>
      <c r="QCP224" s="863"/>
      <c r="QCQ224" s="861"/>
      <c r="QCR224" s="862"/>
      <c r="QCS224" s="862"/>
      <c r="QCT224" s="862"/>
      <c r="QCU224" s="862"/>
      <c r="QCV224" s="863"/>
      <c r="QCW224" s="861"/>
      <c r="QCX224" s="862"/>
      <c r="QCY224" s="862"/>
      <c r="QCZ224" s="862"/>
      <c r="QDA224" s="862"/>
      <c r="QDB224" s="863"/>
      <c r="QDC224" s="861"/>
      <c r="QDD224" s="862"/>
      <c r="QDE224" s="862"/>
      <c r="QDF224" s="862"/>
      <c r="QDG224" s="862"/>
      <c r="QDH224" s="863"/>
      <c r="QDI224" s="861"/>
      <c r="QDJ224" s="862"/>
      <c r="QDK224" s="862"/>
      <c r="QDL224" s="862"/>
      <c r="QDM224" s="862"/>
      <c r="QDN224" s="863"/>
      <c r="QDO224" s="861"/>
      <c r="QDP224" s="862"/>
      <c r="QDQ224" s="862"/>
      <c r="QDR224" s="862"/>
      <c r="QDS224" s="862"/>
      <c r="QDT224" s="863"/>
      <c r="QDU224" s="861"/>
      <c r="QDV224" s="862"/>
      <c r="QDW224" s="862"/>
      <c r="QDX224" s="862"/>
      <c r="QDY224" s="862"/>
      <c r="QDZ224" s="863"/>
      <c r="QEA224" s="861"/>
      <c r="QEB224" s="862"/>
      <c r="QEC224" s="862"/>
      <c r="QED224" s="862"/>
      <c r="QEE224" s="862"/>
      <c r="QEF224" s="863"/>
      <c r="QEG224" s="861"/>
      <c r="QEH224" s="862"/>
      <c r="QEI224" s="862"/>
      <c r="QEJ224" s="862"/>
      <c r="QEK224" s="862"/>
      <c r="QEL224" s="863"/>
      <c r="QEM224" s="861"/>
      <c r="QEN224" s="862"/>
      <c r="QEO224" s="862"/>
      <c r="QEP224" s="862"/>
      <c r="QEQ224" s="862"/>
      <c r="QER224" s="863"/>
      <c r="QES224" s="861"/>
      <c r="QET224" s="862"/>
      <c r="QEU224" s="862"/>
      <c r="QEV224" s="862"/>
      <c r="QEW224" s="862"/>
      <c r="QEX224" s="863"/>
      <c r="QEY224" s="861"/>
      <c r="QEZ224" s="862"/>
      <c r="QFA224" s="862"/>
      <c r="QFB224" s="862"/>
      <c r="QFC224" s="862"/>
      <c r="QFD224" s="863"/>
      <c r="QFE224" s="861"/>
      <c r="QFF224" s="862"/>
      <c r="QFG224" s="862"/>
      <c r="QFH224" s="862"/>
      <c r="QFI224" s="862"/>
      <c r="QFJ224" s="863"/>
      <c r="QFK224" s="861"/>
      <c r="QFL224" s="862"/>
      <c r="QFM224" s="862"/>
      <c r="QFN224" s="862"/>
      <c r="QFO224" s="862"/>
      <c r="QFP224" s="863"/>
      <c r="QFQ224" s="861"/>
      <c r="QFR224" s="862"/>
      <c r="QFS224" s="862"/>
      <c r="QFT224" s="862"/>
      <c r="QFU224" s="862"/>
      <c r="QFV224" s="863"/>
      <c r="QFW224" s="861"/>
      <c r="QFX224" s="862"/>
      <c r="QFY224" s="862"/>
      <c r="QFZ224" s="862"/>
      <c r="QGA224" s="862"/>
      <c r="QGB224" s="863"/>
      <c r="QGC224" s="861"/>
      <c r="QGD224" s="862"/>
      <c r="QGE224" s="862"/>
      <c r="QGF224" s="862"/>
      <c r="QGG224" s="862"/>
      <c r="QGH224" s="863"/>
      <c r="QGI224" s="861"/>
      <c r="QGJ224" s="862"/>
      <c r="QGK224" s="862"/>
      <c r="QGL224" s="862"/>
      <c r="QGM224" s="862"/>
      <c r="QGN224" s="863"/>
      <c r="QGO224" s="861"/>
      <c r="QGP224" s="862"/>
      <c r="QGQ224" s="862"/>
      <c r="QGR224" s="862"/>
      <c r="QGS224" s="862"/>
      <c r="QGT224" s="863"/>
      <c r="QGU224" s="861"/>
      <c r="QGV224" s="862"/>
      <c r="QGW224" s="862"/>
      <c r="QGX224" s="862"/>
      <c r="QGY224" s="862"/>
      <c r="QGZ224" s="863"/>
      <c r="QHA224" s="861"/>
      <c r="QHB224" s="862"/>
      <c r="QHC224" s="862"/>
      <c r="QHD224" s="862"/>
      <c r="QHE224" s="862"/>
      <c r="QHF224" s="863"/>
      <c r="QHG224" s="861"/>
      <c r="QHH224" s="862"/>
      <c r="QHI224" s="862"/>
      <c r="QHJ224" s="862"/>
      <c r="QHK224" s="862"/>
      <c r="QHL224" s="863"/>
      <c r="QHM224" s="861"/>
      <c r="QHN224" s="862"/>
      <c r="QHO224" s="862"/>
      <c r="QHP224" s="862"/>
      <c r="QHQ224" s="862"/>
      <c r="QHR224" s="863"/>
      <c r="QHS224" s="861"/>
      <c r="QHT224" s="862"/>
      <c r="QHU224" s="862"/>
      <c r="QHV224" s="862"/>
      <c r="QHW224" s="862"/>
      <c r="QHX224" s="863"/>
      <c r="QHY224" s="861"/>
      <c r="QHZ224" s="862"/>
      <c r="QIA224" s="862"/>
      <c r="QIB224" s="862"/>
      <c r="QIC224" s="862"/>
      <c r="QID224" s="863"/>
      <c r="QIE224" s="861"/>
      <c r="QIF224" s="862"/>
      <c r="QIG224" s="862"/>
      <c r="QIH224" s="862"/>
      <c r="QII224" s="862"/>
      <c r="QIJ224" s="863"/>
      <c r="QIK224" s="861"/>
      <c r="QIL224" s="862"/>
      <c r="QIM224" s="862"/>
      <c r="QIN224" s="862"/>
      <c r="QIO224" s="862"/>
      <c r="QIP224" s="863"/>
      <c r="QIQ224" s="861"/>
      <c r="QIR224" s="862"/>
      <c r="QIS224" s="862"/>
      <c r="QIT224" s="862"/>
      <c r="QIU224" s="862"/>
      <c r="QIV224" s="863"/>
      <c r="QIW224" s="861"/>
      <c r="QIX224" s="862"/>
      <c r="QIY224" s="862"/>
      <c r="QIZ224" s="862"/>
      <c r="QJA224" s="862"/>
      <c r="QJB224" s="863"/>
      <c r="QJC224" s="861"/>
      <c r="QJD224" s="862"/>
      <c r="QJE224" s="862"/>
      <c r="QJF224" s="862"/>
      <c r="QJG224" s="862"/>
      <c r="QJH224" s="863"/>
      <c r="QJI224" s="861"/>
      <c r="QJJ224" s="862"/>
      <c r="QJK224" s="862"/>
      <c r="QJL224" s="862"/>
      <c r="QJM224" s="862"/>
      <c r="QJN224" s="863"/>
      <c r="QJO224" s="861"/>
      <c r="QJP224" s="862"/>
      <c r="QJQ224" s="862"/>
      <c r="QJR224" s="862"/>
      <c r="QJS224" s="862"/>
      <c r="QJT224" s="863"/>
      <c r="QJU224" s="861"/>
      <c r="QJV224" s="862"/>
      <c r="QJW224" s="862"/>
      <c r="QJX224" s="862"/>
      <c r="QJY224" s="862"/>
      <c r="QJZ224" s="863"/>
      <c r="QKA224" s="861"/>
      <c r="QKB224" s="862"/>
      <c r="QKC224" s="862"/>
      <c r="QKD224" s="862"/>
      <c r="QKE224" s="862"/>
      <c r="QKF224" s="863"/>
      <c r="QKG224" s="861"/>
      <c r="QKH224" s="862"/>
      <c r="QKI224" s="862"/>
      <c r="QKJ224" s="862"/>
      <c r="QKK224" s="862"/>
      <c r="QKL224" s="863"/>
      <c r="QKM224" s="861"/>
      <c r="QKN224" s="862"/>
      <c r="QKO224" s="862"/>
      <c r="QKP224" s="862"/>
      <c r="QKQ224" s="862"/>
      <c r="QKR224" s="863"/>
      <c r="QKS224" s="861"/>
      <c r="QKT224" s="862"/>
      <c r="QKU224" s="862"/>
      <c r="QKV224" s="862"/>
      <c r="QKW224" s="862"/>
      <c r="QKX224" s="863"/>
      <c r="QKY224" s="861"/>
      <c r="QKZ224" s="862"/>
      <c r="QLA224" s="862"/>
      <c r="QLB224" s="862"/>
      <c r="QLC224" s="862"/>
      <c r="QLD224" s="863"/>
      <c r="QLE224" s="861"/>
      <c r="QLF224" s="862"/>
      <c r="QLG224" s="862"/>
      <c r="QLH224" s="862"/>
      <c r="QLI224" s="862"/>
      <c r="QLJ224" s="863"/>
      <c r="QLK224" s="861"/>
      <c r="QLL224" s="862"/>
      <c r="QLM224" s="862"/>
      <c r="QLN224" s="862"/>
      <c r="QLO224" s="862"/>
      <c r="QLP224" s="863"/>
      <c r="QLQ224" s="861"/>
      <c r="QLR224" s="862"/>
      <c r="QLS224" s="862"/>
      <c r="QLT224" s="862"/>
      <c r="QLU224" s="862"/>
      <c r="QLV224" s="863"/>
      <c r="QLW224" s="861"/>
      <c r="QLX224" s="862"/>
      <c r="QLY224" s="862"/>
      <c r="QLZ224" s="862"/>
      <c r="QMA224" s="862"/>
      <c r="QMB224" s="863"/>
      <c r="QMC224" s="861"/>
      <c r="QMD224" s="862"/>
      <c r="QME224" s="862"/>
      <c r="QMF224" s="862"/>
      <c r="QMG224" s="862"/>
      <c r="QMH224" s="863"/>
      <c r="QMI224" s="861"/>
      <c r="QMJ224" s="862"/>
      <c r="QMK224" s="862"/>
      <c r="QML224" s="862"/>
      <c r="QMM224" s="862"/>
      <c r="QMN224" s="863"/>
      <c r="QMO224" s="861"/>
      <c r="QMP224" s="862"/>
      <c r="QMQ224" s="862"/>
      <c r="QMR224" s="862"/>
      <c r="QMS224" s="862"/>
      <c r="QMT224" s="863"/>
      <c r="QMU224" s="861"/>
      <c r="QMV224" s="862"/>
      <c r="QMW224" s="862"/>
      <c r="QMX224" s="862"/>
      <c r="QMY224" s="862"/>
      <c r="QMZ224" s="863"/>
      <c r="QNA224" s="861"/>
      <c r="QNB224" s="862"/>
      <c r="QNC224" s="862"/>
      <c r="QND224" s="862"/>
      <c r="QNE224" s="862"/>
      <c r="QNF224" s="863"/>
      <c r="QNG224" s="861"/>
      <c r="QNH224" s="862"/>
      <c r="QNI224" s="862"/>
      <c r="QNJ224" s="862"/>
      <c r="QNK224" s="862"/>
      <c r="QNL224" s="863"/>
      <c r="QNM224" s="861"/>
      <c r="QNN224" s="862"/>
      <c r="QNO224" s="862"/>
      <c r="QNP224" s="862"/>
      <c r="QNQ224" s="862"/>
      <c r="QNR224" s="863"/>
      <c r="QNS224" s="861"/>
      <c r="QNT224" s="862"/>
      <c r="QNU224" s="862"/>
      <c r="QNV224" s="862"/>
      <c r="QNW224" s="862"/>
      <c r="QNX224" s="863"/>
      <c r="QNY224" s="861"/>
      <c r="QNZ224" s="862"/>
      <c r="QOA224" s="862"/>
      <c r="QOB224" s="862"/>
      <c r="QOC224" s="862"/>
      <c r="QOD224" s="863"/>
      <c r="QOE224" s="861"/>
      <c r="QOF224" s="862"/>
      <c r="QOG224" s="862"/>
      <c r="QOH224" s="862"/>
      <c r="QOI224" s="862"/>
      <c r="QOJ224" s="863"/>
      <c r="QOK224" s="861"/>
      <c r="QOL224" s="862"/>
      <c r="QOM224" s="862"/>
      <c r="QON224" s="862"/>
      <c r="QOO224" s="862"/>
      <c r="QOP224" s="863"/>
      <c r="QOQ224" s="861"/>
      <c r="QOR224" s="862"/>
      <c r="QOS224" s="862"/>
      <c r="QOT224" s="862"/>
      <c r="QOU224" s="862"/>
      <c r="QOV224" s="863"/>
      <c r="QOW224" s="861"/>
      <c r="QOX224" s="862"/>
      <c r="QOY224" s="862"/>
      <c r="QOZ224" s="862"/>
      <c r="QPA224" s="862"/>
      <c r="QPB224" s="863"/>
      <c r="QPC224" s="861"/>
      <c r="QPD224" s="862"/>
      <c r="QPE224" s="862"/>
      <c r="QPF224" s="862"/>
      <c r="QPG224" s="862"/>
      <c r="QPH224" s="863"/>
      <c r="QPI224" s="861"/>
      <c r="QPJ224" s="862"/>
      <c r="QPK224" s="862"/>
      <c r="QPL224" s="862"/>
      <c r="QPM224" s="862"/>
      <c r="QPN224" s="863"/>
      <c r="QPO224" s="861"/>
      <c r="QPP224" s="862"/>
      <c r="QPQ224" s="862"/>
      <c r="QPR224" s="862"/>
      <c r="QPS224" s="862"/>
      <c r="QPT224" s="863"/>
      <c r="QPU224" s="861"/>
      <c r="QPV224" s="862"/>
      <c r="QPW224" s="862"/>
      <c r="QPX224" s="862"/>
      <c r="QPY224" s="862"/>
      <c r="QPZ224" s="863"/>
      <c r="QQA224" s="861"/>
      <c r="QQB224" s="862"/>
      <c r="QQC224" s="862"/>
      <c r="QQD224" s="862"/>
      <c r="QQE224" s="862"/>
      <c r="QQF224" s="863"/>
      <c r="QQG224" s="861"/>
      <c r="QQH224" s="862"/>
      <c r="QQI224" s="862"/>
      <c r="QQJ224" s="862"/>
      <c r="QQK224" s="862"/>
      <c r="QQL224" s="863"/>
      <c r="QQM224" s="861"/>
      <c r="QQN224" s="862"/>
      <c r="QQO224" s="862"/>
      <c r="QQP224" s="862"/>
      <c r="QQQ224" s="862"/>
      <c r="QQR224" s="863"/>
      <c r="QQS224" s="861"/>
      <c r="QQT224" s="862"/>
      <c r="QQU224" s="862"/>
      <c r="QQV224" s="862"/>
      <c r="QQW224" s="862"/>
      <c r="QQX224" s="863"/>
      <c r="QQY224" s="861"/>
      <c r="QQZ224" s="862"/>
      <c r="QRA224" s="862"/>
      <c r="QRB224" s="862"/>
      <c r="QRC224" s="862"/>
      <c r="QRD224" s="863"/>
      <c r="QRE224" s="861"/>
      <c r="QRF224" s="862"/>
      <c r="QRG224" s="862"/>
      <c r="QRH224" s="862"/>
      <c r="QRI224" s="862"/>
      <c r="QRJ224" s="863"/>
      <c r="QRK224" s="861"/>
      <c r="QRL224" s="862"/>
      <c r="QRM224" s="862"/>
      <c r="QRN224" s="862"/>
      <c r="QRO224" s="862"/>
      <c r="QRP224" s="863"/>
      <c r="QRQ224" s="861"/>
      <c r="QRR224" s="862"/>
      <c r="QRS224" s="862"/>
      <c r="QRT224" s="862"/>
      <c r="QRU224" s="862"/>
      <c r="QRV224" s="863"/>
      <c r="QRW224" s="861"/>
      <c r="QRX224" s="862"/>
      <c r="QRY224" s="862"/>
      <c r="QRZ224" s="862"/>
      <c r="QSA224" s="862"/>
      <c r="QSB224" s="863"/>
      <c r="QSC224" s="861"/>
      <c r="QSD224" s="862"/>
      <c r="QSE224" s="862"/>
      <c r="QSF224" s="862"/>
      <c r="QSG224" s="862"/>
      <c r="QSH224" s="863"/>
      <c r="QSI224" s="861"/>
      <c r="QSJ224" s="862"/>
      <c r="QSK224" s="862"/>
      <c r="QSL224" s="862"/>
      <c r="QSM224" s="862"/>
      <c r="QSN224" s="863"/>
      <c r="QSO224" s="861"/>
      <c r="QSP224" s="862"/>
      <c r="QSQ224" s="862"/>
      <c r="QSR224" s="862"/>
      <c r="QSS224" s="862"/>
      <c r="QST224" s="863"/>
      <c r="QSU224" s="861"/>
      <c r="QSV224" s="862"/>
      <c r="QSW224" s="862"/>
      <c r="QSX224" s="862"/>
      <c r="QSY224" s="862"/>
      <c r="QSZ224" s="863"/>
      <c r="QTA224" s="861"/>
      <c r="QTB224" s="862"/>
      <c r="QTC224" s="862"/>
      <c r="QTD224" s="862"/>
      <c r="QTE224" s="862"/>
      <c r="QTF224" s="863"/>
      <c r="QTG224" s="861"/>
      <c r="QTH224" s="862"/>
      <c r="QTI224" s="862"/>
      <c r="QTJ224" s="862"/>
      <c r="QTK224" s="862"/>
      <c r="QTL224" s="863"/>
      <c r="QTM224" s="861"/>
      <c r="QTN224" s="862"/>
      <c r="QTO224" s="862"/>
      <c r="QTP224" s="862"/>
      <c r="QTQ224" s="862"/>
      <c r="QTR224" s="863"/>
      <c r="QTS224" s="861"/>
      <c r="QTT224" s="862"/>
      <c r="QTU224" s="862"/>
      <c r="QTV224" s="862"/>
      <c r="QTW224" s="862"/>
      <c r="QTX224" s="863"/>
      <c r="QTY224" s="861"/>
      <c r="QTZ224" s="862"/>
      <c r="QUA224" s="862"/>
      <c r="QUB224" s="862"/>
      <c r="QUC224" s="862"/>
      <c r="QUD224" s="863"/>
      <c r="QUE224" s="861"/>
      <c r="QUF224" s="862"/>
      <c r="QUG224" s="862"/>
      <c r="QUH224" s="862"/>
      <c r="QUI224" s="862"/>
      <c r="QUJ224" s="863"/>
      <c r="QUK224" s="861"/>
      <c r="QUL224" s="862"/>
      <c r="QUM224" s="862"/>
      <c r="QUN224" s="862"/>
      <c r="QUO224" s="862"/>
      <c r="QUP224" s="863"/>
      <c r="QUQ224" s="861"/>
      <c r="QUR224" s="862"/>
      <c r="QUS224" s="862"/>
      <c r="QUT224" s="862"/>
      <c r="QUU224" s="862"/>
      <c r="QUV224" s="863"/>
      <c r="QUW224" s="861"/>
      <c r="QUX224" s="862"/>
      <c r="QUY224" s="862"/>
      <c r="QUZ224" s="862"/>
      <c r="QVA224" s="862"/>
      <c r="QVB224" s="863"/>
      <c r="QVC224" s="861"/>
      <c r="QVD224" s="862"/>
      <c r="QVE224" s="862"/>
      <c r="QVF224" s="862"/>
      <c r="QVG224" s="862"/>
      <c r="QVH224" s="863"/>
      <c r="QVI224" s="861"/>
      <c r="QVJ224" s="862"/>
      <c r="QVK224" s="862"/>
      <c r="QVL224" s="862"/>
      <c r="QVM224" s="862"/>
      <c r="QVN224" s="863"/>
      <c r="QVO224" s="861"/>
      <c r="QVP224" s="862"/>
      <c r="QVQ224" s="862"/>
      <c r="QVR224" s="862"/>
      <c r="QVS224" s="862"/>
      <c r="QVT224" s="863"/>
      <c r="QVU224" s="861"/>
      <c r="QVV224" s="862"/>
      <c r="QVW224" s="862"/>
      <c r="QVX224" s="862"/>
      <c r="QVY224" s="862"/>
      <c r="QVZ224" s="863"/>
      <c r="QWA224" s="861"/>
      <c r="QWB224" s="862"/>
      <c r="QWC224" s="862"/>
      <c r="QWD224" s="862"/>
      <c r="QWE224" s="862"/>
      <c r="QWF224" s="863"/>
      <c r="QWG224" s="861"/>
      <c r="QWH224" s="862"/>
      <c r="QWI224" s="862"/>
      <c r="QWJ224" s="862"/>
      <c r="QWK224" s="862"/>
      <c r="QWL224" s="863"/>
      <c r="QWM224" s="861"/>
      <c r="QWN224" s="862"/>
      <c r="QWO224" s="862"/>
      <c r="QWP224" s="862"/>
      <c r="QWQ224" s="862"/>
      <c r="QWR224" s="863"/>
      <c r="QWS224" s="861"/>
      <c r="QWT224" s="862"/>
      <c r="QWU224" s="862"/>
      <c r="QWV224" s="862"/>
      <c r="QWW224" s="862"/>
      <c r="QWX224" s="863"/>
      <c r="QWY224" s="861"/>
      <c r="QWZ224" s="862"/>
      <c r="QXA224" s="862"/>
      <c r="QXB224" s="862"/>
      <c r="QXC224" s="862"/>
      <c r="QXD224" s="863"/>
      <c r="QXE224" s="861"/>
      <c r="QXF224" s="862"/>
      <c r="QXG224" s="862"/>
      <c r="QXH224" s="862"/>
      <c r="QXI224" s="862"/>
      <c r="QXJ224" s="863"/>
      <c r="QXK224" s="861"/>
      <c r="QXL224" s="862"/>
      <c r="QXM224" s="862"/>
      <c r="QXN224" s="862"/>
      <c r="QXO224" s="862"/>
      <c r="QXP224" s="863"/>
      <c r="QXQ224" s="861"/>
      <c r="QXR224" s="862"/>
      <c r="QXS224" s="862"/>
      <c r="QXT224" s="862"/>
      <c r="QXU224" s="862"/>
      <c r="QXV224" s="863"/>
      <c r="QXW224" s="861"/>
      <c r="QXX224" s="862"/>
      <c r="QXY224" s="862"/>
      <c r="QXZ224" s="862"/>
      <c r="QYA224" s="862"/>
      <c r="QYB224" s="863"/>
      <c r="QYC224" s="861"/>
      <c r="QYD224" s="862"/>
      <c r="QYE224" s="862"/>
      <c r="QYF224" s="862"/>
      <c r="QYG224" s="862"/>
      <c r="QYH224" s="863"/>
      <c r="QYI224" s="861"/>
      <c r="QYJ224" s="862"/>
      <c r="QYK224" s="862"/>
      <c r="QYL224" s="862"/>
      <c r="QYM224" s="862"/>
      <c r="QYN224" s="863"/>
      <c r="QYO224" s="861"/>
      <c r="QYP224" s="862"/>
      <c r="QYQ224" s="862"/>
      <c r="QYR224" s="862"/>
      <c r="QYS224" s="862"/>
      <c r="QYT224" s="863"/>
      <c r="QYU224" s="861"/>
      <c r="QYV224" s="862"/>
      <c r="QYW224" s="862"/>
      <c r="QYX224" s="862"/>
      <c r="QYY224" s="862"/>
      <c r="QYZ224" s="863"/>
      <c r="QZA224" s="861"/>
      <c r="QZB224" s="862"/>
      <c r="QZC224" s="862"/>
      <c r="QZD224" s="862"/>
      <c r="QZE224" s="862"/>
      <c r="QZF224" s="863"/>
      <c r="QZG224" s="861"/>
      <c r="QZH224" s="862"/>
      <c r="QZI224" s="862"/>
      <c r="QZJ224" s="862"/>
      <c r="QZK224" s="862"/>
      <c r="QZL224" s="863"/>
      <c r="QZM224" s="861"/>
      <c r="QZN224" s="862"/>
      <c r="QZO224" s="862"/>
      <c r="QZP224" s="862"/>
      <c r="QZQ224" s="862"/>
      <c r="QZR224" s="863"/>
      <c r="QZS224" s="861"/>
      <c r="QZT224" s="862"/>
      <c r="QZU224" s="862"/>
      <c r="QZV224" s="862"/>
      <c r="QZW224" s="862"/>
      <c r="QZX224" s="863"/>
      <c r="QZY224" s="861"/>
      <c r="QZZ224" s="862"/>
      <c r="RAA224" s="862"/>
      <c r="RAB224" s="862"/>
      <c r="RAC224" s="862"/>
      <c r="RAD224" s="863"/>
      <c r="RAE224" s="861"/>
      <c r="RAF224" s="862"/>
      <c r="RAG224" s="862"/>
      <c r="RAH224" s="862"/>
      <c r="RAI224" s="862"/>
      <c r="RAJ224" s="863"/>
      <c r="RAK224" s="861"/>
      <c r="RAL224" s="862"/>
      <c r="RAM224" s="862"/>
      <c r="RAN224" s="862"/>
      <c r="RAO224" s="862"/>
      <c r="RAP224" s="863"/>
      <c r="RAQ224" s="861"/>
      <c r="RAR224" s="862"/>
      <c r="RAS224" s="862"/>
      <c r="RAT224" s="862"/>
      <c r="RAU224" s="862"/>
      <c r="RAV224" s="863"/>
      <c r="RAW224" s="861"/>
      <c r="RAX224" s="862"/>
      <c r="RAY224" s="862"/>
      <c r="RAZ224" s="862"/>
      <c r="RBA224" s="862"/>
      <c r="RBB224" s="863"/>
      <c r="RBC224" s="861"/>
      <c r="RBD224" s="862"/>
      <c r="RBE224" s="862"/>
      <c r="RBF224" s="862"/>
      <c r="RBG224" s="862"/>
      <c r="RBH224" s="863"/>
      <c r="RBI224" s="861"/>
      <c r="RBJ224" s="862"/>
      <c r="RBK224" s="862"/>
      <c r="RBL224" s="862"/>
      <c r="RBM224" s="862"/>
      <c r="RBN224" s="863"/>
      <c r="RBO224" s="861"/>
      <c r="RBP224" s="862"/>
      <c r="RBQ224" s="862"/>
      <c r="RBR224" s="862"/>
      <c r="RBS224" s="862"/>
      <c r="RBT224" s="863"/>
      <c r="RBU224" s="861"/>
      <c r="RBV224" s="862"/>
      <c r="RBW224" s="862"/>
      <c r="RBX224" s="862"/>
      <c r="RBY224" s="862"/>
      <c r="RBZ224" s="863"/>
      <c r="RCA224" s="861"/>
      <c r="RCB224" s="862"/>
      <c r="RCC224" s="862"/>
      <c r="RCD224" s="862"/>
      <c r="RCE224" s="862"/>
      <c r="RCF224" s="863"/>
      <c r="RCG224" s="861"/>
      <c r="RCH224" s="862"/>
      <c r="RCI224" s="862"/>
      <c r="RCJ224" s="862"/>
      <c r="RCK224" s="862"/>
      <c r="RCL224" s="863"/>
      <c r="RCM224" s="861"/>
      <c r="RCN224" s="862"/>
      <c r="RCO224" s="862"/>
      <c r="RCP224" s="862"/>
      <c r="RCQ224" s="862"/>
      <c r="RCR224" s="863"/>
      <c r="RCS224" s="861"/>
      <c r="RCT224" s="862"/>
      <c r="RCU224" s="862"/>
      <c r="RCV224" s="862"/>
      <c r="RCW224" s="862"/>
      <c r="RCX224" s="863"/>
      <c r="RCY224" s="861"/>
      <c r="RCZ224" s="862"/>
      <c r="RDA224" s="862"/>
      <c r="RDB224" s="862"/>
      <c r="RDC224" s="862"/>
      <c r="RDD224" s="863"/>
      <c r="RDE224" s="861"/>
      <c r="RDF224" s="862"/>
      <c r="RDG224" s="862"/>
      <c r="RDH224" s="862"/>
      <c r="RDI224" s="862"/>
      <c r="RDJ224" s="863"/>
      <c r="RDK224" s="861"/>
      <c r="RDL224" s="862"/>
      <c r="RDM224" s="862"/>
      <c r="RDN224" s="862"/>
      <c r="RDO224" s="862"/>
      <c r="RDP224" s="863"/>
      <c r="RDQ224" s="861"/>
      <c r="RDR224" s="862"/>
      <c r="RDS224" s="862"/>
      <c r="RDT224" s="862"/>
      <c r="RDU224" s="862"/>
      <c r="RDV224" s="863"/>
      <c r="RDW224" s="861"/>
      <c r="RDX224" s="862"/>
      <c r="RDY224" s="862"/>
      <c r="RDZ224" s="862"/>
      <c r="REA224" s="862"/>
      <c r="REB224" s="863"/>
      <c r="REC224" s="861"/>
      <c r="RED224" s="862"/>
      <c r="REE224" s="862"/>
      <c r="REF224" s="862"/>
      <c r="REG224" s="862"/>
      <c r="REH224" s="863"/>
      <c r="REI224" s="861"/>
      <c r="REJ224" s="862"/>
      <c r="REK224" s="862"/>
      <c r="REL224" s="862"/>
      <c r="REM224" s="862"/>
      <c r="REN224" s="863"/>
      <c r="REO224" s="861"/>
      <c r="REP224" s="862"/>
      <c r="REQ224" s="862"/>
      <c r="RER224" s="862"/>
      <c r="RES224" s="862"/>
      <c r="RET224" s="863"/>
      <c r="REU224" s="861"/>
      <c r="REV224" s="862"/>
      <c r="REW224" s="862"/>
      <c r="REX224" s="862"/>
      <c r="REY224" s="862"/>
      <c r="REZ224" s="863"/>
      <c r="RFA224" s="861"/>
      <c r="RFB224" s="862"/>
      <c r="RFC224" s="862"/>
      <c r="RFD224" s="862"/>
      <c r="RFE224" s="862"/>
      <c r="RFF224" s="863"/>
      <c r="RFG224" s="861"/>
      <c r="RFH224" s="862"/>
      <c r="RFI224" s="862"/>
      <c r="RFJ224" s="862"/>
      <c r="RFK224" s="862"/>
      <c r="RFL224" s="863"/>
      <c r="RFM224" s="861"/>
      <c r="RFN224" s="862"/>
      <c r="RFO224" s="862"/>
      <c r="RFP224" s="862"/>
      <c r="RFQ224" s="862"/>
      <c r="RFR224" s="863"/>
      <c r="RFS224" s="861"/>
      <c r="RFT224" s="862"/>
      <c r="RFU224" s="862"/>
      <c r="RFV224" s="862"/>
      <c r="RFW224" s="862"/>
      <c r="RFX224" s="863"/>
      <c r="RFY224" s="861"/>
      <c r="RFZ224" s="862"/>
      <c r="RGA224" s="862"/>
      <c r="RGB224" s="862"/>
      <c r="RGC224" s="862"/>
      <c r="RGD224" s="863"/>
      <c r="RGE224" s="861"/>
      <c r="RGF224" s="862"/>
      <c r="RGG224" s="862"/>
      <c r="RGH224" s="862"/>
      <c r="RGI224" s="862"/>
      <c r="RGJ224" s="863"/>
      <c r="RGK224" s="861"/>
      <c r="RGL224" s="862"/>
      <c r="RGM224" s="862"/>
      <c r="RGN224" s="862"/>
      <c r="RGO224" s="862"/>
      <c r="RGP224" s="863"/>
      <c r="RGQ224" s="861"/>
      <c r="RGR224" s="862"/>
      <c r="RGS224" s="862"/>
      <c r="RGT224" s="862"/>
      <c r="RGU224" s="862"/>
      <c r="RGV224" s="863"/>
      <c r="RGW224" s="861"/>
      <c r="RGX224" s="862"/>
      <c r="RGY224" s="862"/>
      <c r="RGZ224" s="862"/>
      <c r="RHA224" s="862"/>
      <c r="RHB224" s="863"/>
      <c r="RHC224" s="861"/>
      <c r="RHD224" s="862"/>
      <c r="RHE224" s="862"/>
      <c r="RHF224" s="862"/>
      <c r="RHG224" s="862"/>
      <c r="RHH224" s="863"/>
      <c r="RHI224" s="861"/>
      <c r="RHJ224" s="862"/>
      <c r="RHK224" s="862"/>
      <c r="RHL224" s="862"/>
      <c r="RHM224" s="862"/>
      <c r="RHN224" s="863"/>
      <c r="RHO224" s="861"/>
      <c r="RHP224" s="862"/>
      <c r="RHQ224" s="862"/>
      <c r="RHR224" s="862"/>
      <c r="RHS224" s="862"/>
      <c r="RHT224" s="863"/>
      <c r="RHU224" s="861"/>
      <c r="RHV224" s="862"/>
      <c r="RHW224" s="862"/>
      <c r="RHX224" s="862"/>
      <c r="RHY224" s="862"/>
      <c r="RHZ224" s="863"/>
      <c r="RIA224" s="861"/>
      <c r="RIB224" s="862"/>
      <c r="RIC224" s="862"/>
      <c r="RID224" s="862"/>
      <c r="RIE224" s="862"/>
      <c r="RIF224" s="863"/>
      <c r="RIG224" s="861"/>
      <c r="RIH224" s="862"/>
      <c r="RII224" s="862"/>
      <c r="RIJ224" s="862"/>
      <c r="RIK224" s="862"/>
      <c r="RIL224" s="863"/>
      <c r="RIM224" s="861"/>
      <c r="RIN224" s="862"/>
      <c r="RIO224" s="862"/>
      <c r="RIP224" s="862"/>
      <c r="RIQ224" s="862"/>
      <c r="RIR224" s="863"/>
      <c r="RIS224" s="861"/>
      <c r="RIT224" s="862"/>
      <c r="RIU224" s="862"/>
      <c r="RIV224" s="862"/>
      <c r="RIW224" s="862"/>
      <c r="RIX224" s="863"/>
      <c r="RIY224" s="861"/>
      <c r="RIZ224" s="862"/>
      <c r="RJA224" s="862"/>
      <c r="RJB224" s="862"/>
      <c r="RJC224" s="862"/>
      <c r="RJD224" s="863"/>
      <c r="RJE224" s="861"/>
      <c r="RJF224" s="862"/>
      <c r="RJG224" s="862"/>
      <c r="RJH224" s="862"/>
      <c r="RJI224" s="862"/>
      <c r="RJJ224" s="863"/>
      <c r="RJK224" s="861"/>
      <c r="RJL224" s="862"/>
      <c r="RJM224" s="862"/>
      <c r="RJN224" s="862"/>
      <c r="RJO224" s="862"/>
      <c r="RJP224" s="863"/>
      <c r="RJQ224" s="861"/>
      <c r="RJR224" s="862"/>
      <c r="RJS224" s="862"/>
      <c r="RJT224" s="862"/>
      <c r="RJU224" s="862"/>
      <c r="RJV224" s="863"/>
      <c r="RJW224" s="861"/>
      <c r="RJX224" s="862"/>
      <c r="RJY224" s="862"/>
      <c r="RJZ224" s="862"/>
      <c r="RKA224" s="862"/>
      <c r="RKB224" s="863"/>
      <c r="RKC224" s="861"/>
      <c r="RKD224" s="862"/>
      <c r="RKE224" s="862"/>
      <c r="RKF224" s="862"/>
      <c r="RKG224" s="862"/>
      <c r="RKH224" s="863"/>
      <c r="RKI224" s="861"/>
      <c r="RKJ224" s="862"/>
      <c r="RKK224" s="862"/>
      <c r="RKL224" s="862"/>
      <c r="RKM224" s="862"/>
      <c r="RKN224" s="863"/>
      <c r="RKO224" s="861"/>
      <c r="RKP224" s="862"/>
      <c r="RKQ224" s="862"/>
      <c r="RKR224" s="862"/>
      <c r="RKS224" s="862"/>
      <c r="RKT224" s="863"/>
      <c r="RKU224" s="861"/>
      <c r="RKV224" s="862"/>
      <c r="RKW224" s="862"/>
      <c r="RKX224" s="862"/>
      <c r="RKY224" s="862"/>
      <c r="RKZ224" s="863"/>
      <c r="RLA224" s="861"/>
      <c r="RLB224" s="862"/>
      <c r="RLC224" s="862"/>
      <c r="RLD224" s="862"/>
      <c r="RLE224" s="862"/>
      <c r="RLF224" s="863"/>
      <c r="RLG224" s="861"/>
      <c r="RLH224" s="862"/>
      <c r="RLI224" s="862"/>
      <c r="RLJ224" s="862"/>
      <c r="RLK224" s="862"/>
      <c r="RLL224" s="863"/>
      <c r="RLM224" s="861"/>
      <c r="RLN224" s="862"/>
      <c r="RLO224" s="862"/>
      <c r="RLP224" s="862"/>
      <c r="RLQ224" s="862"/>
      <c r="RLR224" s="863"/>
      <c r="RLS224" s="861"/>
      <c r="RLT224" s="862"/>
      <c r="RLU224" s="862"/>
      <c r="RLV224" s="862"/>
      <c r="RLW224" s="862"/>
      <c r="RLX224" s="863"/>
      <c r="RLY224" s="861"/>
      <c r="RLZ224" s="862"/>
      <c r="RMA224" s="862"/>
      <c r="RMB224" s="862"/>
      <c r="RMC224" s="862"/>
      <c r="RMD224" s="863"/>
      <c r="RME224" s="861"/>
      <c r="RMF224" s="862"/>
      <c r="RMG224" s="862"/>
      <c r="RMH224" s="862"/>
      <c r="RMI224" s="862"/>
      <c r="RMJ224" s="863"/>
      <c r="RMK224" s="861"/>
      <c r="RML224" s="862"/>
      <c r="RMM224" s="862"/>
      <c r="RMN224" s="862"/>
      <c r="RMO224" s="862"/>
      <c r="RMP224" s="863"/>
      <c r="RMQ224" s="861"/>
      <c r="RMR224" s="862"/>
      <c r="RMS224" s="862"/>
      <c r="RMT224" s="862"/>
      <c r="RMU224" s="862"/>
      <c r="RMV224" s="863"/>
      <c r="RMW224" s="861"/>
      <c r="RMX224" s="862"/>
      <c r="RMY224" s="862"/>
      <c r="RMZ224" s="862"/>
      <c r="RNA224" s="862"/>
      <c r="RNB224" s="863"/>
      <c r="RNC224" s="861"/>
      <c r="RND224" s="862"/>
      <c r="RNE224" s="862"/>
      <c r="RNF224" s="862"/>
      <c r="RNG224" s="862"/>
      <c r="RNH224" s="863"/>
      <c r="RNI224" s="861"/>
      <c r="RNJ224" s="862"/>
      <c r="RNK224" s="862"/>
      <c r="RNL224" s="862"/>
      <c r="RNM224" s="862"/>
      <c r="RNN224" s="863"/>
      <c r="RNO224" s="861"/>
      <c r="RNP224" s="862"/>
      <c r="RNQ224" s="862"/>
      <c r="RNR224" s="862"/>
      <c r="RNS224" s="862"/>
      <c r="RNT224" s="863"/>
      <c r="RNU224" s="861"/>
      <c r="RNV224" s="862"/>
      <c r="RNW224" s="862"/>
      <c r="RNX224" s="862"/>
      <c r="RNY224" s="862"/>
      <c r="RNZ224" s="863"/>
      <c r="ROA224" s="861"/>
      <c r="ROB224" s="862"/>
      <c r="ROC224" s="862"/>
      <c r="ROD224" s="862"/>
      <c r="ROE224" s="862"/>
      <c r="ROF224" s="863"/>
      <c r="ROG224" s="861"/>
      <c r="ROH224" s="862"/>
      <c r="ROI224" s="862"/>
      <c r="ROJ224" s="862"/>
      <c r="ROK224" s="862"/>
      <c r="ROL224" s="863"/>
      <c r="ROM224" s="861"/>
      <c r="RON224" s="862"/>
      <c r="ROO224" s="862"/>
      <c r="ROP224" s="862"/>
      <c r="ROQ224" s="862"/>
      <c r="ROR224" s="863"/>
      <c r="ROS224" s="861"/>
      <c r="ROT224" s="862"/>
      <c r="ROU224" s="862"/>
      <c r="ROV224" s="862"/>
      <c r="ROW224" s="862"/>
      <c r="ROX224" s="863"/>
      <c r="ROY224" s="861"/>
      <c r="ROZ224" s="862"/>
      <c r="RPA224" s="862"/>
      <c r="RPB224" s="862"/>
      <c r="RPC224" s="862"/>
      <c r="RPD224" s="863"/>
      <c r="RPE224" s="861"/>
      <c r="RPF224" s="862"/>
      <c r="RPG224" s="862"/>
      <c r="RPH224" s="862"/>
      <c r="RPI224" s="862"/>
      <c r="RPJ224" s="863"/>
      <c r="RPK224" s="861"/>
      <c r="RPL224" s="862"/>
      <c r="RPM224" s="862"/>
      <c r="RPN224" s="862"/>
      <c r="RPO224" s="862"/>
      <c r="RPP224" s="863"/>
      <c r="RPQ224" s="861"/>
      <c r="RPR224" s="862"/>
      <c r="RPS224" s="862"/>
      <c r="RPT224" s="862"/>
      <c r="RPU224" s="862"/>
      <c r="RPV224" s="863"/>
      <c r="RPW224" s="861"/>
      <c r="RPX224" s="862"/>
      <c r="RPY224" s="862"/>
      <c r="RPZ224" s="862"/>
      <c r="RQA224" s="862"/>
      <c r="RQB224" s="863"/>
      <c r="RQC224" s="861"/>
      <c r="RQD224" s="862"/>
      <c r="RQE224" s="862"/>
      <c r="RQF224" s="862"/>
      <c r="RQG224" s="862"/>
      <c r="RQH224" s="863"/>
      <c r="RQI224" s="861"/>
      <c r="RQJ224" s="862"/>
      <c r="RQK224" s="862"/>
      <c r="RQL224" s="862"/>
      <c r="RQM224" s="862"/>
      <c r="RQN224" s="863"/>
      <c r="RQO224" s="861"/>
      <c r="RQP224" s="862"/>
      <c r="RQQ224" s="862"/>
      <c r="RQR224" s="862"/>
      <c r="RQS224" s="862"/>
      <c r="RQT224" s="863"/>
      <c r="RQU224" s="861"/>
      <c r="RQV224" s="862"/>
      <c r="RQW224" s="862"/>
      <c r="RQX224" s="862"/>
      <c r="RQY224" s="862"/>
      <c r="RQZ224" s="863"/>
      <c r="RRA224" s="861"/>
      <c r="RRB224" s="862"/>
      <c r="RRC224" s="862"/>
      <c r="RRD224" s="862"/>
      <c r="RRE224" s="862"/>
      <c r="RRF224" s="863"/>
      <c r="RRG224" s="861"/>
      <c r="RRH224" s="862"/>
      <c r="RRI224" s="862"/>
      <c r="RRJ224" s="862"/>
      <c r="RRK224" s="862"/>
      <c r="RRL224" s="863"/>
      <c r="RRM224" s="861"/>
      <c r="RRN224" s="862"/>
      <c r="RRO224" s="862"/>
      <c r="RRP224" s="862"/>
      <c r="RRQ224" s="862"/>
      <c r="RRR224" s="863"/>
      <c r="RRS224" s="861"/>
      <c r="RRT224" s="862"/>
      <c r="RRU224" s="862"/>
      <c r="RRV224" s="862"/>
      <c r="RRW224" s="862"/>
      <c r="RRX224" s="863"/>
      <c r="RRY224" s="861"/>
      <c r="RRZ224" s="862"/>
      <c r="RSA224" s="862"/>
      <c r="RSB224" s="862"/>
      <c r="RSC224" s="862"/>
      <c r="RSD224" s="863"/>
      <c r="RSE224" s="861"/>
      <c r="RSF224" s="862"/>
      <c r="RSG224" s="862"/>
      <c r="RSH224" s="862"/>
      <c r="RSI224" s="862"/>
      <c r="RSJ224" s="863"/>
      <c r="RSK224" s="861"/>
      <c r="RSL224" s="862"/>
      <c r="RSM224" s="862"/>
      <c r="RSN224" s="862"/>
      <c r="RSO224" s="862"/>
      <c r="RSP224" s="863"/>
      <c r="RSQ224" s="861"/>
      <c r="RSR224" s="862"/>
      <c r="RSS224" s="862"/>
      <c r="RST224" s="862"/>
      <c r="RSU224" s="862"/>
      <c r="RSV224" s="863"/>
      <c r="RSW224" s="861"/>
      <c r="RSX224" s="862"/>
      <c r="RSY224" s="862"/>
      <c r="RSZ224" s="862"/>
      <c r="RTA224" s="862"/>
      <c r="RTB224" s="863"/>
      <c r="RTC224" s="861"/>
      <c r="RTD224" s="862"/>
      <c r="RTE224" s="862"/>
      <c r="RTF224" s="862"/>
      <c r="RTG224" s="862"/>
      <c r="RTH224" s="863"/>
      <c r="RTI224" s="861"/>
      <c r="RTJ224" s="862"/>
      <c r="RTK224" s="862"/>
      <c r="RTL224" s="862"/>
      <c r="RTM224" s="862"/>
      <c r="RTN224" s="863"/>
      <c r="RTO224" s="861"/>
      <c r="RTP224" s="862"/>
      <c r="RTQ224" s="862"/>
      <c r="RTR224" s="862"/>
      <c r="RTS224" s="862"/>
      <c r="RTT224" s="863"/>
      <c r="RTU224" s="861"/>
      <c r="RTV224" s="862"/>
      <c r="RTW224" s="862"/>
      <c r="RTX224" s="862"/>
      <c r="RTY224" s="862"/>
      <c r="RTZ224" s="863"/>
      <c r="RUA224" s="861"/>
      <c r="RUB224" s="862"/>
      <c r="RUC224" s="862"/>
      <c r="RUD224" s="862"/>
      <c r="RUE224" s="862"/>
      <c r="RUF224" s="863"/>
      <c r="RUG224" s="861"/>
      <c r="RUH224" s="862"/>
      <c r="RUI224" s="862"/>
      <c r="RUJ224" s="862"/>
      <c r="RUK224" s="862"/>
      <c r="RUL224" s="863"/>
      <c r="RUM224" s="861"/>
      <c r="RUN224" s="862"/>
      <c r="RUO224" s="862"/>
      <c r="RUP224" s="862"/>
      <c r="RUQ224" s="862"/>
      <c r="RUR224" s="863"/>
      <c r="RUS224" s="861"/>
      <c r="RUT224" s="862"/>
      <c r="RUU224" s="862"/>
      <c r="RUV224" s="862"/>
      <c r="RUW224" s="862"/>
      <c r="RUX224" s="863"/>
      <c r="RUY224" s="861"/>
      <c r="RUZ224" s="862"/>
      <c r="RVA224" s="862"/>
      <c r="RVB224" s="862"/>
      <c r="RVC224" s="862"/>
      <c r="RVD224" s="863"/>
      <c r="RVE224" s="861"/>
      <c r="RVF224" s="862"/>
      <c r="RVG224" s="862"/>
      <c r="RVH224" s="862"/>
      <c r="RVI224" s="862"/>
      <c r="RVJ224" s="863"/>
      <c r="RVK224" s="861"/>
      <c r="RVL224" s="862"/>
      <c r="RVM224" s="862"/>
      <c r="RVN224" s="862"/>
      <c r="RVO224" s="862"/>
      <c r="RVP224" s="863"/>
      <c r="RVQ224" s="861"/>
      <c r="RVR224" s="862"/>
      <c r="RVS224" s="862"/>
      <c r="RVT224" s="862"/>
      <c r="RVU224" s="862"/>
      <c r="RVV224" s="863"/>
      <c r="RVW224" s="861"/>
      <c r="RVX224" s="862"/>
      <c r="RVY224" s="862"/>
      <c r="RVZ224" s="862"/>
      <c r="RWA224" s="862"/>
      <c r="RWB224" s="863"/>
      <c r="RWC224" s="861"/>
      <c r="RWD224" s="862"/>
      <c r="RWE224" s="862"/>
      <c r="RWF224" s="862"/>
      <c r="RWG224" s="862"/>
      <c r="RWH224" s="863"/>
      <c r="RWI224" s="861"/>
      <c r="RWJ224" s="862"/>
      <c r="RWK224" s="862"/>
      <c r="RWL224" s="862"/>
      <c r="RWM224" s="862"/>
      <c r="RWN224" s="863"/>
      <c r="RWO224" s="861"/>
      <c r="RWP224" s="862"/>
      <c r="RWQ224" s="862"/>
      <c r="RWR224" s="862"/>
      <c r="RWS224" s="862"/>
      <c r="RWT224" s="863"/>
      <c r="RWU224" s="861"/>
      <c r="RWV224" s="862"/>
      <c r="RWW224" s="862"/>
      <c r="RWX224" s="862"/>
      <c r="RWY224" s="862"/>
      <c r="RWZ224" s="863"/>
      <c r="RXA224" s="861"/>
      <c r="RXB224" s="862"/>
      <c r="RXC224" s="862"/>
      <c r="RXD224" s="862"/>
      <c r="RXE224" s="862"/>
      <c r="RXF224" s="863"/>
      <c r="RXG224" s="861"/>
      <c r="RXH224" s="862"/>
      <c r="RXI224" s="862"/>
      <c r="RXJ224" s="862"/>
      <c r="RXK224" s="862"/>
      <c r="RXL224" s="863"/>
      <c r="RXM224" s="861"/>
      <c r="RXN224" s="862"/>
      <c r="RXO224" s="862"/>
      <c r="RXP224" s="862"/>
      <c r="RXQ224" s="862"/>
      <c r="RXR224" s="863"/>
      <c r="RXS224" s="861"/>
      <c r="RXT224" s="862"/>
      <c r="RXU224" s="862"/>
      <c r="RXV224" s="862"/>
      <c r="RXW224" s="862"/>
      <c r="RXX224" s="863"/>
      <c r="RXY224" s="861"/>
      <c r="RXZ224" s="862"/>
      <c r="RYA224" s="862"/>
      <c r="RYB224" s="862"/>
      <c r="RYC224" s="862"/>
      <c r="RYD224" s="863"/>
      <c r="RYE224" s="861"/>
      <c r="RYF224" s="862"/>
      <c r="RYG224" s="862"/>
      <c r="RYH224" s="862"/>
      <c r="RYI224" s="862"/>
      <c r="RYJ224" s="863"/>
      <c r="RYK224" s="861"/>
      <c r="RYL224" s="862"/>
      <c r="RYM224" s="862"/>
      <c r="RYN224" s="862"/>
      <c r="RYO224" s="862"/>
      <c r="RYP224" s="863"/>
      <c r="RYQ224" s="861"/>
      <c r="RYR224" s="862"/>
      <c r="RYS224" s="862"/>
      <c r="RYT224" s="862"/>
      <c r="RYU224" s="862"/>
      <c r="RYV224" s="863"/>
      <c r="RYW224" s="861"/>
      <c r="RYX224" s="862"/>
      <c r="RYY224" s="862"/>
      <c r="RYZ224" s="862"/>
      <c r="RZA224" s="862"/>
      <c r="RZB224" s="863"/>
      <c r="RZC224" s="861"/>
      <c r="RZD224" s="862"/>
      <c r="RZE224" s="862"/>
      <c r="RZF224" s="862"/>
      <c r="RZG224" s="862"/>
      <c r="RZH224" s="863"/>
      <c r="RZI224" s="861"/>
      <c r="RZJ224" s="862"/>
      <c r="RZK224" s="862"/>
      <c r="RZL224" s="862"/>
      <c r="RZM224" s="862"/>
      <c r="RZN224" s="863"/>
      <c r="RZO224" s="861"/>
      <c r="RZP224" s="862"/>
      <c r="RZQ224" s="862"/>
      <c r="RZR224" s="862"/>
      <c r="RZS224" s="862"/>
      <c r="RZT224" s="863"/>
      <c r="RZU224" s="861"/>
      <c r="RZV224" s="862"/>
      <c r="RZW224" s="862"/>
      <c r="RZX224" s="862"/>
      <c r="RZY224" s="862"/>
      <c r="RZZ224" s="863"/>
      <c r="SAA224" s="861"/>
      <c r="SAB224" s="862"/>
      <c r="SAC224" s="862"/>
      <c r="SAD224" s="862"/>
      <c r="SAE224" s="862"/>
      <c r="SAF224" s="863"/>
      <c r="SAG224" s="861"/>
      <c r="SAH224" s="862"/>
      <c r="SAI224" s="862"/>
      <c r="SAJ224" s="862"/>
      <c r="SAK224" s="862"/>
      <c r="SAL224" s="863"/>
      <c r="SAM224" s="861"/>
      <c r="SAN224" s="862"/>
      <c r="SAO224" s="862"/>
      <c r="SAP224" s="862"/>
      <c r="SAQ224" s="862"/>
      <c r="SAR224" s="863"/>
      <c r="SAS224" s="861"/>
      <c r="SAT224" s="862"/>
      <c r="SAU224" s="862"/>
      <c r="SAV224" s="862"/>
      <c r="SAW224" s="862"/>
      <c r="SAX224" s="863"/>
      <c r="SAY224" s="861"/>
      <c r="SAZ224" s="862"/>
      <c r="SBA224" s="862"/>
      <c r="SBB224" s="862"/>
      <c r="SBC224" s="862"/>
      <c r="SBD224" s="863"/>
      <c r="SBE224" s="861"/>
      <c r="SBF224" s="862"/>
      <c r="SBG224" s="862"/>
      <c r="SBH224" s="862"/>
      <c r="SBI224" s="862"/>
      <c r="SBJ224" s="863"/>
      <c r="SBK224" s="861"/>
      <c r="SBL224" s="862"/>
      <c r="SBM224" s="862"/>
      <c r="SBN224" s="862"/>
      <c r="SBO224" s="862"/>
      <c r="SBP224" s="863"/>
      <c r="SBQ224" s="861"/>
      <c r="SBR224" s="862"/>
      <c r="SBS224" s="862"/>
      <c r="SBT224" s="862"/>
      <c r="SBU224" s="862"/>
      <c r="SBV224" s="863"/>
      <c r="SBW224" s="861"/>
      <c r="SBX224" s="862"/>
      <c r="SBY224" s="862"/>
      <c r="SBZ224" s="862"/>
      <c r="SCA224" s="862"/>
      <c r="SCB224" s="863"/>
      <c r="SCC224" s="861"/>
      <c r="SCD224" s="862"/>
      <c r="SCE224" s="862"/>
      <c r="SCF224" s="862"/>
      <c r="SCG224" s="862"/>
      <c r="SCH224" s="863"/>
      <c r="SCI224" s="861"/>
      <c r="SCJ224" s="862"/>
      <c r="SCK224" s="862"/>
      <c r="SCL224" s="862"/>
      <c r="SCM224" s="862"/>
      <c r="SCN224" s="863"/>
      <c r="SCO224" s="861"/>
      <c r="SCP224" s="862"/>
      <c r="SCQ224" s="862"/>
      <c r="SCR224" s="862"/>
      <c r="SCS224" s="862"/>
      <c r="SCT224" s="863"/>
      <c r="SCU224" s="861"/>
      <c r="SCV224" s="862"/>
      <c r="SCW224" s="862"/>
      <c r="SCX224" s="862"/>
      <c r="SCY224" s="862"/>
      <c r="SCZ224" s="863"/>
      <c r="SDA224" s="861"/>
      <c r="SDB224" s="862"/>
      <c r="SDC224" s="862"/>
      <c r="SDD224" s="862"/>
      <c r="SDE224" s="862"/>
      <c r="SDF224" s="863"/>
      <c r="SDG224" s="861"/>
      <c r="SDH224" s="862"/>
      <c r="SDI224" s="862"/>
      <c r="SDJ224" s="862"/>
      <c r="SDK224" s="862"/>
      <c r="SDL224" s="863"/>
      <c r="SDM224" s="861"/>
      <c r="SDN224" s="862"/>
      <c r="SDO224" s="862"/>
      <c r="SDP224" s="862"/>
      <c r="SDQ224" s="862"/>
      <c r="SDR224" s="863"/>
      <c r="SDS224" s="861"/>
      <c r="SDT224" s="862"/>
      <c r="SDU224" s="862"/>
      <c r="SDV224" s="862"/>
      <c r="SDW224" s="862"/>
      <c r="SDX224" s="863"/>
      <c r="SDY224" s="861"/>
      <c r="SDZ224" s="862"/>
      <c r="SEA224" s="862"/>
      <c r="SEB224" s="862"/>
      <c r="SEC224" s="862"/>
      <c r="SED224" s="863"/>
      <c r="SEE224" s="861"/>
      <c r="SEF224" s="862"/>
      <c r="SEG224" s="862"/>
      <c r="SEH224" s="862"/>
      <c r="SEI224" s="862"/>
      <c r="SEJ224" s="863"/>
      <c r="SEK224" s="861"/>
      <c r="SEL224" s="862"/>
      <c r="SEM224" s="862"/>
      <c r="SEN224" s="862"/>
      <c r="SEO224" s="862"/>
      <c r="SEP224" s="863"/>
      <c r="SEQ224" s="861"/>
      <c r="SER224" s="862"/>
      <c r="SES224" s="862"/>
      <c r="SET224" s="862"/>
      <c r="SEU224" s="862"/>
      <c r="SEV224" s="863"/>
      <c r="SEW224" s="861"/>
      <c r="SEX224" s="862"/>
      <c r="SEY224" s="862"/>
      <c r="SEZ224" s="862"/>
      <c r="SFA224" s="862"/>
      <c r="SFB224" s="863"/>
      <c r="SFC224" s="861"/>
      <c r="SFD224" s="862"/>
      <c r="SFE224" s="862"/>
      <c r="SFF224" s="862"/>
      <c r="SFG224" s="862"/>
      <c r="SFH224" s="863"/>
      <c r="SFI224" s="861"/>
      <c r="SFJ224" s="862"/>
      <c r="SFK224" s="862"/>
      <c r="SFL224" s="862"/>
      <c r="SFM224" s="862"/>
      <c r="SFN224" s="863"/>
      <c r="SFO224" s="861"/>
      <c r="SFP224" s="862"/>
      <c r="SFQ224" s="862"/>
      <c r="SFR224" s="862"/>
      <c r="SFS224" s="862"/>
      <c r="SFT224" s="863"/>
      <c r="SFU224" s="861"/>
      <c r="SFV224" s="862"/>
      <c r="SFW224" s="862"/>
      <c r="SFX224" s="862"/>
      <c r="SFY224" s="862"/>
      <c r="SFZ224" s="863"/>
      <c r="SGA224" s="861"/>
      <c r="SGB224" s="862"/>
      <c r="SGC224" s="862"/>
      <c r="SGD224" s="862"/>
      <c r="SGE224" s="862"/>
      <c r="SGF224" s="863"/>
      <c r="SGG224" s="861"/>
      <c r="SGH224" s="862"/>
      <c r="SGI224" s="862"/>
      <c r="SGJ224" s="862"/>
      <c r="SGK224" s="862"/>
      <c r="SGL224" s="863"/>
      <c r="SGM224" s="861"/>
      <c r="SGN224" s="862"/>
      <c r="SGO224" s="862"/>
      <c r="SGP224" s="862"/>
      <c r="SGQ224" s="862"/>
      <c r="SGR224" s="863"/>
      <c r="SGS224" s="861"/>
      <c r="SGT224" s="862"/>
      <c r="SGU224" s="862"/>
      <c r="SGV224" s="862"/>
      <c r="SGW224" s="862"/>
      <c r="SGX224" s="863"/>
      <c r="SGY224" s="861"/>
      <c r="SGZ224" s="862"/>
      <c r="SHA224" s="862"/>
      <c r="SHB224" s="862"/>
      <c r="SHC224" s="862"/>
      <c r="SHD224" s="863"/>
      <c r="SHE224" s="861"/>
      <c r="SHF224" s="862"/>
      <c r="SHG224" s="862"/>
      <c r="SHH224" s="862"/>
      <c r="SHI224" s="862"/>
      <c r="SHJ224" s="863"/>
      <c r="SHK224" s="861"/>
      <c r="SHL224" s="862"/>
      <c r="SHM224" s="862"/>
      <c r="SHN224" s="862"/>
      <c r="SHO224" s="862"/>
      <c r="SHP224" s="863"/>
      <c r="SHQ224" s="861"/>
      <c r="SHR224" s="862"/>
      <c r="SHS224" s="862"/>
      <c r="SHT224" s="862"/>
      <c r="SHU224" s="862"/>
      <c r="SHV224" s="863"/>
      <c r="SHW224" s="861"/>
      <c r="SHX224" s="862"/>
      <c r="SHY224" s="862"/>
      <c r="SHZ224" s="862"/>
      <c r="SIA224" s="862"/>
      <c r="SIB224" s="863"/>
      <c r="SIC224" s="861"/>
      <c r="SID224" s="862"/>
      <c r="SIE224" s="862"/>
      <c r="SIF224" s="862"/>
      <c r="SIG224" s="862"/>
      <c r="SIH224" s="863"/>
      <c r="SII224" s="861"/>
      <c r="SIJ224" s="862"/>
      <c r="SIK224" s="862"/>
      <c r="SIL224" s="862"/>
      <c r="SIM224" s="862"/>
      <c r="SIN224" s="863"/>
      <c r="SIO224" s="861"/>
      <c r="SIP224" s="862"/>
      <c r="SIQ224" s="862"/>
      <c r="SIR224" s="862"/>
      <c r="SIS224" s="862"/>
      <c r="SIT224" s="863"/>
      <c r="SIU224" s="861"/>
      <c r="SIV224" s="862"/>
      <c r="SIW224" s="862"/>
      <c r="SIX224" s="862"/>
      <c r="SIY224" s="862"/>
      <c r="SIZ224" s="863"/>
      <c r="SJA224" s="861"/>
      <c r="SJB224" s="862"/>
      <c r="SJC224" s="862"/>
      <c r="SJD224" s="862"/>
      <c r="SJE224" s="862"/>
      <c r="SJF224" s="863"/>
      <c r="SJG224" s="861"/>
      <c r="SJH224" s="862"/>
      <c r="SJI224" s="862"/>
      <c r="SJJ224" s="862"/>
      <c r="SJK224" s="862"/>
      <c r="SJL224" s="863"/>
      <c r="SJM224" s="861"/>
      <c r="SJN224" s="862"/>
      <c r="SJO224" s="862"/>
      <c r="SJP224" s="862"/>
      <c r="SJQ224" s="862"/>
      <c r="SJR224" s="863"/>
      <c r="SJS224" s="861"/>
      <c r="SJT224" s="862"/>
      <c r="SJU224" s="862"/>
      <c r="SJV224" s="862"/>
      <c r="SJW224" s="862"/>
      <c r="SJX224" s="863"/>
      <c r="SJY224" s="861"/>
      <c r="SJZ224" s="862"/>
      <c r="SKA224" s="862"/>
      <c r="SKB224" s="862"/>
      <c r="SKC224" s="862"/>
      <c r="SKD224" s="863"/>
      <c r="SKE224" s="861"/>
      <c r="SKF224" s="862"/>
      <c r="SKG224" s="862"/>
      <c r="SKH224" s="862"/>
      <c r="SKI224" s="862"/>
      <c r="SKJ224" s="863"/>
      <c r="SKK224" s="861"/>
      <c r="SKL224" s="862"/>
      <c r="SKM224" s="862"/>
      <c r="SKN224" s="862"/>
      <c r="SKO224" s="862"/>
      <c r="SKP224" s="863"/>
      <c r="SKQ224" s="861"/>
      <c r="SKR224" s="862"/>
      <c r="SKS224" s="862"/>
      <c r="SKT224" s="862"/>
      <c r="SKU224" s="862"/>
      <c r="SKV224" s="863"/>
      <c r="SKW224" s="861"/>
      <c r="SKX224" s="862"/>
      <c r="SKY224" s="862"/>
      <c r="SKZ224" s="862"/>
      <c r="SLA224" s="862"/>
      <c r="SLB224" s="863"/>
      <c r="SLC224" s="861"/>
      <c r="SLD224" s="862"/>
      <c r="SLE224" s="862"/>
      <c r="SLF224" s="862"/>
      <c r="SLG224" s="862"/>
      <c r="SLH224" s="863"/>
      <c r="SLI224" s="861"/>
      <c r="SLJ224" s="862"/>
      <c r="SLK224" s="862"/>
      <c r="SLL224" s="862"/>
      <c r="SLM224" s="862"/>
      <c r="SLN224" s="863"/>
      <c r="SLO224" s="861"/>
      <c r="SLP224" s="862"/>
      <c r="SLQ224" s="862"/>
      <c r="SLR224" s="862"/>
      <c r="SLS224" s="862"/>
      <c r="SLT224" s="863"/>
      <c r="SLU224" s="861"/>
      <c r="SLV224" s="862"/>
      <c r="SLW224" s="862"/>
      <c r="SLX224" s="862"/>
      <c r="SLY224" s="862"/>
      <c r="SLZ224" s="863"/>
      <c r="SMA224" s="861"/>
      <c r="SMB224" s="862"/>
      <c r="SMC224" s="862"/>
      <c r="SMD224" s="862"/>
      <c r="SME224" s="862"/>
      <c r="SMF224" s="863"/>
      <c r="SMG224" s="861"/>
      <c r="SMH224" s="862"/>
      <c r="SMI224" s="862"/>
      <c r="SMJ224" s="862"/>
      <c r="SMK224" s="862"/>
      <c r="SML224" s="863"/>
      <c r="SMM224" s="861"/>
      <c r="SMN224" s="862"/>
      <c r="SMO224" s="862"/>
      <c r="SMP224" s="862"/>
      <c r="SMQ224" s="862"/>
      <c r="SMR224" s="863"/>
      <c r="SMS224" s="861"/>
      <c r="SMT224" s="862"/>
      <c r="SMU224" s="862"/>
      <c r="SMV224" s="862"/>
      <c r="SMW224" s="862"/>
      <c r="SMX224" s="863"/>
      <c r="SMY224" s="861"/>
      <c r="SMZ224" s="862"/>
      <c r="SNA224" s="862"/>
      <c r="SNB224" s="862"/>
      <c r="SNC224" s="862"/>
      <c r="SND224" s="863"/>
      <c r="SNE224" s="861"/>
      <c r="SNF224" s="862"/>
      <c r="SNG224" s="862"/>
      <c r="SNH224" s="862"/>
      <c r="SNI224" s="862"/>
      <c r="SNJ224" s="863"/>
      <c r="SNK224" s="861"/>
      <c r="SNL224" s="862"/>
      <c r="SNM224" s="862"/>
      <c r="SNN224" s="862"/>
      <c r="SNO224" s="862"/>
      <c r="SNP224" s="863"/>
      <c r="SNQ224" s="861"/>
      <c r="SNR224" s="862"/>
      <c r="SNS224" s="862"/>
      <c r="SNT224" s="862"/>
      <c r="SNU224" s="862"/>
      <c r="SNV224" s="863"/>
      <c r="SNW224" s="861"/>
      <c r="SNX224" s="862"/>
      <c r="SNY224" s="862"/>
      <c r="SNZ224" s="862"/>
      <c r="SOA224" s="862"/>
      <c r="SOB224" s="863"/>
      <c r="SOC224" s="861"/>
      <c r="SOD224" s="862"/>
      <c r="SOE224" s="862"/>
      <c r="SOF224" s="862"/>
      <c r="SOG224" s="862"/>
      <c r="SOH224" s="863"/>
      <c r="SOI224" s="861"/>
      <c r="SOJ224" s="862"/>
      <c r="SOK224" s="862"/>
      <c r="SOL224" s="862"/>
      <c r="SOM224" s="862"/>
      <c r="SON224" s="863"/>
      <c r="SOO224" s="861"/>
      <c r="SOP224" s="862"/>
      <c r="SOQ224" s="862"/>
      <c r="SOR224" s="862"/>
      <c r="SOS224" s="862"/>
      <c r="SOT224" s="863"/>
      <c r="SOU224" s="861"/>
      <c r="SOV224" s="862"/>
      <c r="SOW224" s="862"/>
      <c r="SOX224" s="862"/>
      <c r="SOY224" s="862"/>
      <c r="SOZ224" s="863"/>
      <c r="SPA224" s="861"/>
      <c r="SPB224" s="862"/>
      <c r="SPC224" s="862"/>
      <c r="SPD224" s="862"/>
      <c r="SPE224" s="862"/>
      <c r="SPF224" s="863"/>
      <c r="SPG224" s="861"/>
      <c r="SPH224" s="862"/>
      <c r="SPI224" s="862"/>
      <c r="SPJ224" s="862"/>
      <c r="SPK224" s="862"/>
      <c r="SPL224" s="863"/>
      <c r="SPM224" s="861"/>
      <c r="SPN224" s="862"/>
      <c r="SPO224" s="862"/>
      <c r="SPP224" s="862"/>
      <c r="SPQ224" s="862"/>
      <c r="SPR224" s="863"/>
      <c r="SPS224" s="861"/>
      <c r="SPT224" s="862"/>
      <c r="SPU224" s="862"/>
      <c r="SPV224" s="862"/>
      <c r="SPW224" s="862"/>
      <c r="SPX224" s="863"/>
      <c r="SPY224" s="861"/>
      <c r="SPZ224" s="862"/>
      <c r="SQA224" s="862"/>
      <c r="SQB224" s="862"/>
      <c r="SQC224" s="862"/>
      <c r="SQD224" s="863"/>
      <c r="SQE224" s="861"/>
      <c r="SQF224" s="862"/>
      <c r="SQG224" s="862"/>
      <c r="SQH224" s="862"/>
      <c r="SQI224" s="862"/>
      <c r="SQJ224" s="863"/>
      <c r="SQK224" s="861"/>
      <c r="SQL224" s="862"/>
      <c r="SQM224" s="862"/>
      <c r="SQN224" s="862"/>
      <c r="SQO224" s="862"/>
      <c r="SQP224" s="863"/>
      <c r="SQQ224" s="861"/>
      <c r="SQR224" s="862"/>
      <c r="SQS224" s="862"/>
      <c r="SQT224" s="862"/>
      <c r="SQU224" s="862"/>
      <c r="SQV224" s="863"/>
      <c r="SQW224" s="861"/>
      <c r="SQX224" s="862"/>
      <c r="SQY224" s="862"/>
      <c r="SQZ224" s="862"/>
      <c r="SRA224" s="862"/>
      <c r="SRB224" s="863"/>
      <c r="SRC224" s="861"/>
      <c r="SRD224" s="862"/>
      <c r="SRE224" s="862"/>
      <c r="SRF224" s="862"/>
      <c r="SRG224" s="862"/>
      <c r="SRH224" s="863"/>
      <c r="SRI224" s="861"/>
      <c r="SRJ224" s="862"/>
      <c r="SRK224" s="862"/>
      <c r="SRL224" s="862"/>
      <c r="SRM224" s="862"/>
      <c r="SRN224" s="863"/>
      <c r="SRO224" s="861"/>
      <c r="SRP224" s="862"/>
      <c r="SRQ224" s="862"/>
      <c r="SRR224" s="862"/>
      <c r="SRS224" s="862"/>
      <c r="SRT224" s="863"/>
      <c r="SRU224" s="861"/>
      <c r="SRV224" s="862"/>
      <c r="SRW224" s="862"/>
      <c r="SRX224" s="862"/>
      <c r="SRY224" s="862"/>
      <c r="SRZ224" s="863"/>
      <c r="SSA224" s="861"/>
      <c r="SSB224" s="862"/>
      <c r="SSC224" s="862"/>
      <c r="SSD224" s="862"/>
      <c r="SSE224" s="862"/>
      <c r="SSF224" s="863"/>
      <c r="SSG224" s="861"/>
      <c r="SSH224" s="862"/>
      <c r="SSI224" s="862"/>
      <c r="SSJ224" s="862"/>
      <c r="SSK224" s="862"/>
      <c r="SSL224" s="863"/>
      <c r="SSM224" s="861"/>
      <c r="SSN224" s="862"/>
      <c r="SSO224" s="862"/>
      <c r="SSP224" s="862"/>
      <c r="SSQ224" s="862"/>
      <c r="SSR224" s="863"/>
      <c r="SSS224" s="861"/>
      <c r="SST224" s="862"/>
      <c r="SSU224" s="862"/>
      <c r="SSV224" s="862"/>
      <c r="SSW224" s="862"/>
      <c r="SSX224" s="863"/>
      <c r="SSY224" s="861"/>
      <c r="SSZ224" s="862"/>
      <c r="STA224" s="862"/>
      <c r="STB224" s="862"/>
      <c r="STC224" s="862"/>
      <c r="STD224" s="863"/>
      <c r="STE224" s="861"/>
      <c r="STF224" s="862"/>
      <c r="STG224" s="862"/>
      <c r="STH224" s="862"/>
      <c r="STI224" s="862"/>
      <c r="STJ224" s="863"/>
      <c r="STK224" s="861"/>
      <c r="STL224" s="862"/>
      <c r="STM224" s="862"/>
      <c r="STN224" s="862"/>
      <c r="STO224" s="862"/>
      <c r="STP224" s="863"/>
      <c r="STQ224" s="861"/>
      <c r="STR224" s="862"/>
      <c r="STS224" s="862"/>
      <c r="STT224" s="862"/>
      <c r="STU224" s="862"/>
      <c r="STV224" s="863"/>
      <c r="STW224" s="861"/>
      <c r="STX224" s="862"/>
      <c r="STY224" s="862"/>
      <c r="STZ224" s="862"/>
      <c r="SUA224" s="862"/>
      <c r="SUB224" s="863"/>
      <c r="SUC224" s="861"/>
      <c r="SUD224" s="862"/>
      <c r="SUE224" s="862"/>
      <c r="SUF224" s="862"/>
      <c r="SUG224" s="862"/>
      <c r="SUH224" s="863"/>
      <c r="SUI224" s="861"/>
      <c r="SUJ224" s="862"/>
      <c r="SUK224" s="862"/>
      <c r="SUL224" s="862"/>
      <c r="SUM224" s="862"/>
      <c r="SUN224" s="863"/>
      <c r="SUO224" s="861"/>
      <c r="SUP224" s="862"/>
      <c r="SUQ224" s="862"/>
      <c r="SUR224" s="862"/>
      <c r="SUS224" s="862"/>
      <c r="SUT224" s="863"/>
      <c r="SUU224" s="861"/>
      <c r="SUV224" s="862"/>
      <c r="SUW224" s="862"/>
      <c r="SUX224" s="862"/>
      <c r="SUY224" s="862"/>
      <c r="SUZ224" s="863"/>
      <c r="SVA224" s="861"/>
      <c r="SVB224" s="862"/>
      <c r="SVC224" s="862"/>
      <c r="SVD224" s="862"/>
      <c r="SVE224" s="862"/>
      <c r="SVF224" s="863"/>
      <c r="SVG224" s="861"/>
      <c r="SVH224" s="862"/>
      <c r="SVI224" s="862"/>
      <c r="SVJ224" s="862"/>
      <c r="SVK224" s="862"/>
      <c r="SVL224" s="863"/>
      <c r="SVM224" s="861"/>
      <c r="SVN224" s="862"/>
      <c r="SVO224" s="862"/>
      <c r="SVP224" s="862"/>
      <c r="SVQ224" s="862"/>
      <c r="SVR224" s="863"/>
      <c r="SVS224" s="861"/>
      <c r="SVT224" s="862"/>
      <c r="SVU224" s="862"/>
      <c r="SVV224" s="862"/>
      <c r="SVW224" s="862"/>
      <c r="SVX224" s="863"/>
      <c r="SVY224" s="861"/>
      <c r="SVZ224" s="862"/>
      <c r="SWA224" s="862"/>
      <c r="SWB224" s="862"/>
      <c r="SWC224" s="862"/>
      <c r="SWD224" s="863"/>
      <c r="SWE224" s="861"/>
      <c r="SWF224" s="862"/>
      <c r="SWG224" s="862"/>
      <c r="SWH224" s="862"/>
      <c r="SWI224" s="862"/>
      <c r="SWJ224" s="863"/>
      <c r="SWK224" s="861"/>
      <c r="SWL224" s="862"/>
      <c r="SWM224" s="862"/>
      <c r="SWN224" s="862"/>
      <c r="SWO224" s="862"/>
      <c r="SWP224" s="863"/>
      <c r="SWQ224" s="861"/>
      <c r="SWR224" s="862"/>
      <c r="SWS224" s="862"/>
      <c r="SWT224" s="862"/>
      <c r="SWU224" s="862"/>
      <c r="SWV224" s="863"/>
      <c r="SWW224" s="861"/>
      <c r="SWX224" s="862"/>
      <c r="SWY224" s="862"/>
      <c r="SWZ224" s="862"/>
      <c r="SXA224" s="862"/>
      <c r="SXB224" s="863"/>
      <c r="SXC224" s="861"/>
      <c r="SXD224" s="862"/>
      <c r="SXE224" s="862"/>
      <c r="SXF224" s="862"/>
      <c r="SXG224" s="862"/>
      <c r="SXH224" s="863"/>
      <c r="SXI224" s="861"/>
      <c r="SXJ224" s="862"/>
      <c r="SXK224" s="862"/>
      <c r="SXL224" s="862"/>
      <c r="SXM224" s="862"/>
      <c r="SXN224" s="863"/>
      <c r="SXO224" s="861"/>
      <c r="SXP224" s="862"/>
      <c r="SXQ224" s="862"/>
      <c r="SXR224" s="862"/>
      <c r="SXS224" s="862"/>
      <c r="SXT224" s="863"/>
      <c r="SXU224" s="861"/>
      <c r="SXV224" s="862"/>
      <c r="SXW224" s="862"/>
      <c r="SXX224" s="862"/>
      <c r="SXY224" s="862"/>
      <c r="SXZ224" s="863"/>
      <c r="SYA224" s="861"/>
      <c r="SYB224" s="862"/>
      <c r="SYC224" s="862"/>
      <c r="SYD224" s="862"/>
      <c r="SYE224" s="862"/>
      <c r="SYF224" s="863"/>
      <c r="SYG224" s="861"/>
      <c r="SYH224" s="862"/>
      <c r="SYI224" s="862"/>
      <c r="SYJ224" s="862"/>
      <c r="SYK224" s="862"/>
      <c r="SYL224" s="863"/>
      <c r="SYM224" s="861"/>
      <c r="SYN224" s="862"/>
      <c r="SYO224" s="862"/>
      <c r="SYP224" s="862"/>
      <c r="SYQ224" s="862"/>
      <c r="SYR224" s="863"/>
      <c r="SYS224" s="861"/>
      <c r="SYT224" s="862"/>
      <c r="SYU224" s="862"/>
      <c r="SYV224" s="862"/>
      <c r="SYW224" s="862"/>
      <c r="SYX224" s="863"/>
      <c r="SYY224" s="861"/>
      <c r="SYZ224" s="862"/>
      <c r="SZA224" s="862"/>
      <c r="SZB224" s="862"/>
      <c r="SZC224" s="862"/>
      <c r="SZD224" s="863"/>
      <c r="SZE224" s="861"/>
      <c r="SZF224" s="862"/>
      <c r="SZG224" s="862"/>
      <c r="SZH224" s="862"/>
      <c r="SZI224" s="862"/>
      <c r="SZJ224" s="863"/>
      <c r="SZK224" s="861"/>
      <c r="SZL224" s="862"/>
      <c r="SZM224" s="862"/>
      <c r="SZN224" s="862"/>
      <c r="SZO224" s="862"/>
      <c r="SZP224" s="863"/>
      <c r="SZQ224" s="861"/>
      <c r="SZR224" s="862"/>
      <c r="SZS224" s="862"/>
      <c r="SZT224" s="862"/>
      <c r="SZU224" s="862"/>
      <c r="SZV224" s="863"/>
      <c r="SZW224" s="861"/>
      <c r="SZX224" s="862"/>
      <c r="SZY224" s="862"/>
      <c r="SZZ224" s="862"/>
      <c r="TAA224" s="862"/>
      <c r="TAB224" s="863"/>
      <c r="TAC224" s="861"/>
      <c r="TAD224" s="862"/>
      <c r="TAE224" s="862"/>
      <c r="TAF224" s="862"/>
      <c r="TAG224" s="862"/>
      <c r="TAH224" s="863"/>
      <c r="TAI224" s="861"/>
      <c r="TAJ224" s="862"/>
      <c r="TAK224" s="862"/>
      <c r="TAL224" s="862"/>
      <c r="TAM224" s="862"/>
      <c r="TAN224" s="863"/>
      <c r="TAO224" s="861"/>
      <c r="TAP224" s="862"/>
      <c r="TAQ224" s="862"/>
      <c r="TAR224" s="862"/>
      <c r="TAS224" s="862"/>
      <c r="TAT224" s="863"/>
      <c r="TAU224" s="861"/>
      <c r="TAV224" s="862"/>
      <c r="TAW224" s="862"/>
      <c r="TAX224" s="862"/>
      <c r="TAY224" s="862"/>
      <c r="TAZ224" s="863"/>
      <c r="TBA224" s="861"/>
      <c r="TBB224" s="862"/>
      <c r="TBC224" s="862"/>
      <c r="TBD224" s="862"/>
      <c r="TBE224" s="862"/>
      <c r="TBF224" s="863"/>
      <c r="TBG224" s="861"/>
      <c r="TBH224" s="862"/>
      <c r="TBI224" s="862"/>
      <c r="TBJ224" s="862"/>
      <c r="TBK224" s="862"/>
      <c r="TBL224" s="863"/>
      <c r="TBM224" s="861"/>
      <c r="TBN224" s="862"/>
      <c r="TBO224" s="862"/>
      <c r="TBP224" s="862"/>
      <c r="TBQ224" s="862"/>
      <c r="TBR224" s="863"/>
      <c r="TBS224" s="861"/>
      <c r="TBT224" s="862"/>
      <c r="TBU224" s="862"/>
      <c r="TBV224" s="862"/>
      <c r="TBW224" s="862"/>
      <c r="TBX224" s="863"/>
      <c r="TBY224" s="861"/>
      <c r="TBZ224" s="862"/>
      <c r="TCA224" s="862"/>
      <c r="TCB224" s="862"/>
      <c r="TCC224" s="862"/>
      <c r="TCD224" s="863"/>
      <c r="TCE224" s="861"/>
      <c r="TCF224" s="862"/>
      <c r="TCG224" s="862"/>
      <c r="TCH224" s="862"/>
      <c r="TCI224" s="862"/>
      <c r="TCJ224" s="863"/>
      <c r="TCK224" s="861"/>
      <c r="TCL224" s="862"/>
      <c r="TCM224" s="862"/>
      <c r="TCN224" s="862"/>
      <c r="TCO224" s="862"/>
      <c r="TCP224" s="863"/>
      <c r="TCQ224" s="861"/>
      <c r="TCR224" s="862"/>
      <c r="TCS224" s="862"/>
      <c r="TCT224" s="862"/>
      <c r="TCU224" s="862"/>
      <c r="TCV224" s="863"/>
      <c r="TCW224" s="861"/>
      <c r="TCX224" s="862"/>
      <c r="TCY224" s="862"/>
      <c r="TCZ224" s="862"/>
      <c r="TDA224" s="862"/>
      <c r="TDB224" s="863"/>
      <c r="TDC224" s="861"/>
      <c r="TDD224" s="862"/>
      <c r="TDE224" s="862"/>
      <c r="TDF224" s="862"/>
      <c r="TDG224" s="862"/>
      <c r="TDH224" s="863"/>
      <c r="TDI224" s="861"/>
      <c r="TDJ224" s="862"/>
      <c r="TDK224" s="862"/>
      <c r="TDL224" s="862"/>
      <c r="TDM224" s="862"/>
      <c r="TDN224" s="863"/>
      <c r="TDO224" s="861"/>
      <c r="TDP224" s="862"/>
      <c r="TDQ224" s="862"/>
      <c r="TDR224" s="862"/>
      <c r="TDS224" s="862"/>
      <c r="TDT224" s="863"/>
      <c r="TDU224" s="861"/>
      <c r="TDV224" s="862"/>
      <c r="TDW224" s="862"/>
      <c r="TDX224" s="862"/>
      <c r="TDY224" s="862"/>
      <c r="TDZ224" s="863"/>
      <c r="TEA224" s="861"/>
      <c r="TEB224" s="862"/>
      <c r="TEC224" s="862"/>
      <c r="TED224" s="862"/>
      <c r="TEE224" s="862"/>
      <c r="TEF224" s="863"/>
      <c r="TEG224" s="861"/>
      <c r="TEH224" s="862"/>
      <c r="TEI224" s="862"/>
      <c r="TEJ224" s="862"/>
      <c r="TEK224" s="862"/>
      <c r="TEL224" s="863"/>
      <c r="TEM224" s="861"/>
      <c r="TEN224" s="862"/>
      <c r="TEO224" s="862"/>
      <c r="TEP224" s="862"/>
      <c r="TEQ224" s="862"/>
      <c r="TER224" s="863"/>
      <c r="TES224" s="861"/>
      <c r="TET224" s="862"/>
      <c r="TEU224" s="862"/>
      <c r="TEV224" s="862"/>
      <c r="TEW224" s="862"/>
      <c r="TEX224" s="863"/>
      <c r="TEY224" s="861"/>
      <c r="TEZ224" s="862"/>
      <c r="TFA224" s="862"/>
      <c r="TFB224" s="862"/>
      <c r="TFC224" s="862"/>
      <c r="TFD224" s="863"/>
      <c r="TFE224" s="861"/>
      <c r="TFF224" s="862"/>
      <c r="TFG224" s="862"/>
      <c r="TFH224" s="862"/>
      <c r="TFI224" s="862"/>
      <c r="TFJ224" s="863"/>
      <c r="TFK224" s="861"/>
      <c r="TFL224" s="862"/>
      <c r="TFM224" s="862"/>
      <c r="TFN224" s="862"/>
      <c r="TFO224" s="862"/>
      <c r="TFP224" s="863"/>
      <c r="TFQ224" s="861"/>
      <c r="TFR224" s="862"/>
      <c r="TFS224" s="862"/>
      <c r="TFT224" s="862"/>
      <c r="TFU224" s="862"/>
      <c r="TFV224" s="863"/>
      <c r="TFW224" s="861"/>
      <c r="TFX224" s="862"/>
      <c r="TFY224" s="862"/>
      <c r="TFZ224" s="862"/>
      <c r="TGA224" s="862"/>
      <c r="TGB224" s="863"/>
      <c r="TGC224" s="861"/>
      <c r="TGD224" s="862"/>
      <c r="TGE224" s="862"/>
      <c r="TGF224" s="862"/>
      <c r="TGG224" s="862"/>
      <c r="TGH224" s="863"/>
      <c r="TGI224" s="861"/>
      <c r="TGJ224" s="862"/>
      <c r="TGK224" s="862"/>
      <c r="TGL224" s="862"/>
      <c r="TGM224" s="862"/>
      <c r="TGN224" s="863"/>
      <c r="TGO224" s="861"/>
      <c r="TGP224" s="862"/>
      <c r="TGQ224" s="862"/>
      <c r="TGR224" s="862"/>
      <c r="TGS224" s="862"/>
      <c r="TGT224" s="863"/>
      <c r="TGU224" s="861"/>
      <c r="TGV224" s="862"/>
      <c r="TGW224" s="862"/>
      <c r="TGX224" s="862"/>
      <c r="TGY224" s="862"/>
      <c r="TGZ224" s="863"/>
      <c r="THA224" s="861"/>
      <c r="THB224" s="862"/>
      <c r="THC224" s="862"/>
      <c r="THD224" s="862"/>
      <c r="THE224" s="862"/>
      <c r="THF224" s="863"/>
      <c r="THG224" s="861"/>
      <c r="THH224" s="862"/>
      <c r="THI224" s="862"/>
      <c r="THJ224" s="862"/>
      <c r="THK224" s="862"/>
      <c r="THL224" s="863"/>
      <c r="THM224" s="861"/>
      <c r="THN224" s="862"/>
      <c r="THO224" s="862"/>
      <c r="THP224" s="862"/>
      <c r="THQ224" s="862"/>
      <c r="THR224" s="863"/>
      <c r="THS224" s="861"/>
      <c r="THT224" s="862"/>
      <c r="THU224" s="862"/>
      <c r="THV224" s="862"/>
      <c r="THW224" s="862"/>
      <c r="THX224" s="863"/>
      <c r="THY224" s="861"/>
      <c r="THZ224" s="862"/>
      <c r="TIA224" s="862"/>
      <c r="TIB224" s="862"/>
      <c r="TIC224" s="862"/>
      <c r="TID224" s="863"/>
      <c r="TIE224" s="861"/>
      <c r="TIF224" s="862"/>
      <c r="TIG224" s="862"/>
      <c r="TIH224" s="862"/>
      <c r="TII224" s="862"/>
      <c r="TIJ224" s="863"/>
      <c r="TIK224" s="861"/>
      <c r="TIL224" s="862"/>
      <c r="TIM224" s="862"/>
      <c r="TIN224" s="862"/>
      <c r="TIO224" s="862"/>
      <c r="TIP224" s="863"/>
      <c r="TIQ224" s="861"/>
      <c r="TIR224" s="862"/>
      <c r="TIS224" s="862"/>
      <c r="TIT224" s="862"/>
      <c r="TIU224" s="862"/>
      <c r="TIV224" s="863"/>
      <c r="TIW224" s="861"/>
      <c r="TIX224" s="862"/>
      <c r="TIY224" s="862"/>
      <c r="TIZ224" s="862"/>
      <c r="TJA224" s="862"/>
      <c r="TJB224" s="863"/>
      <c r="TJC224" s="861"/>
      <c r="TJD224" s="862"/>
      <c r="TJE224" s="862"/>
      <c r="TJF224" s="862"/>
      <c r="TJG224" s="862"/>
      <c r="TJH224" s="863"/>
      <c r="TJI224" s="861"/>
      <c r="TJJ224" s="862"/>
      <c r="TJK224" s="862"/>
      <c r="TJL224" s="862"/>
      <c r="TJM224" s="862"/>
      <c r="TJN224" s="863"/>
      <c r="TJO224" s="861"/>
      <c r="TJP224" s="862"/>
      <c r="TJQ224" s="862"/>
      <c r="TJR224" s="862"/>
      <c r="TJS224" s="862"/>
      <c r="TJT224" s="863"/>
      <c r="TJU224" s="861"/>
      <c r="TJV224" s="862"/>
      <c r="TJW224" s="862"/>
      <c r="TJX224" s="862"/>
      <c r="TJY224" s="862"/>
      <c r="TJZ224" s="863"/>
      <c r="TKA224" s="861"/>
      <c r="TKB224" s="862"/>
      <c r="TKC224" s="862"/>
      <c r="TKD224" s="862"/>
      <c r="TKE224" s="862"/>
      <c r="TKF224" s="863"/>
      <c r="TKG224" s="861"/>
      <c r="TKH224" s="862"/>
      <c r="TKI224" s="862"/>
      <c r="TKJ224" s="862"/>
      <c r="TKK224" s="862"/>
      <c r="TKL224" s="863"/>
      <c r="TKM224" s="861"/>
      <c r="TKN224" s="862"/>
      <c r="TKO224" s="862"/>
      <c r="TKP224" s="862"/>
      <c r="TKQ224" s="862"/>
      <c r="TKR224" s="863"/>
      <c r="TKS224" s="861"/>
      <c r="TKT224" s="862"/>
      <c r="TKU224" s="862"/>
      <c r="TKV224" s="862"/>
      <c r="TKW224" s="862"/>
      <c r="TKX224" s="863"/>
      <c r="TKY224" s="861"/>
      <c r="TKZ224" s="862"/>
      <c r="TLA224" s="862"/>
      <c r="TLB224" s="862"/>
      <c r="TLC224" s="862"/>
      <c r="TLD224" s="863"/>
      <c r="TLE224" s="861"/>
      <c r="TLF224" s="862"/>
      <c r="TLG224" s="862"/>
      <c r="TLH224" s="862"/>
      <c r="TLI224" s="862"/>
      <c r="TLJ224" s="863"/>
      <c r="TLK224" s="861"/>
      <c r="TLL224" s="862"/>
      <c r="TLM224" s="862"/>
      <c r="TLN224" s="862"/>
      <c r="TLO224" s="862"/>
      <c r="TLP224" s="863"/>
      <c r="TLQ224" s="861"/>
      <c r="TLR224" s="862"/>
      <c r="TLS224" s="862"/>
      <c r="TLT224" s="862"/>
      <c r="TLU224" s="862"/>
      <c r="TLV224" s="863"/>
      <c r="TLW224" s="861"/>
      <c r="TLX224" s="862"/>
      <c r="TLY224" s="862"/>
      <c r="TLZ224" s="862"/>
      <c r="TMA224" s="862"/>
      <c r="TMB224" s="863"/>
      <c r="TMC224" s="861"/>
      <c r="TMD224" s="862"/>
      <c r="TME224" s="862"/>
      <c r="TMF224" s="862"/>
      <c r="TMG224" s="862"/>
      <c r="TMH224" s="863"/>
      <c r="TMI224" s="861"/>
      <c r="TMJ224" s="862"/>
      <c r="TMK224" s="862"/>
      <c r="TML224" s="862"/>
      <c r="TMM224" s="862"/>
      <c r="TMN224" s="863"/>
      <c r="TMO224" s="861"/>
      <c r="TMP224" s="862"/>
      <c r="TMQ224" s="862"/>
      <c r="TMR224" s="862"/>
      <c r="TMS224" s="862"/>
      <c r="TMT224" s="863"/>
      <c r="TMU224" s="861"/>
      <c r="TMV224" s="862"/>
      <c r="TMW224" s="862"/>
      <c r="TMX224" s="862"/>
      <c r="TMY224" s="862"/>
      <c r="TMZ224" s="863"/>
      <c r="TNA224" s="861"/>
      <c r="TNB224" s="862"/>
      <c r="TNC224" s="862"/>
      <c r="TND224" s="862"/>
      <c r="TNE224" s="862"/>
      <c r="TNF224" s="863"/>
      <c r="TNG224" s="861"/>
      <c r="TNH224" s="862"/>
      <c r="TNI224" s="862"/>
      <c r="TNJ224" s="862"/>
      <c r="TNK224" s="862"/>
      <c r="TNL224" s="863"/>
      <c r="TNM224" s="861"/>
      <c r="TNN224" s="862"/>
      <c r="TNO224" s="862"/>
      <c r="TNP224" s="862"/>
      <c r="TNQ224" s="862"/>
      <c r="TNR224" s="863"/>
      <c r="TNS224" s="861"/>
      <c r="TNT224" s="862"/>
      <c r="TNU224" s="862"/>
      <c r="TNV224" s="862"/>
      <c r="TNW224" s="862"/>
      <c r="TNX224" s="863"/>
      <c r="TNY224" s="861"/>
      <c r="TNZ224" s="862"/>
      <c r="TOA224" s="862"/>
      <c r="TOB224" s="862"/>
      <c r="TOC224" s="862"/>
      <c r="TOD224" s="863"/>
      <c r="TOE224" s="861"/>
      <c r="TOF224" s="862"/>
      <c r="TOG224" s="862"/>
      <c r="TOH224" s="862"/>
      <c r="TOI224" s="862"/>
      <c r="TOJ224" s="863"/>
      <c r="TOK224" s="861"/>
      <c r="TOL224" s="862"/>
      <c r="TOM224" s="862"/>
      <c r="TON224" s="862"/>
      <c r="TOO224" s="862"/>
      <c r="TOP224" s="863"/>
      <c r="TOQ224" s="861"/>
      <c r="TOR224" s="862"/>
      <c r="TOS224" s="862"/>
      <c r="TOT224" s="862"/>
      <c r="TOU224" s="862"/>
      <c r="TOV224" s="863"/>
      <c r="TOW224" s="861"/>
      <c r="TOX224" s="862"/>
      <c r="TOY224" s="862"/>
      <c r="TOZ224" s="862"/>
      <c r="TPA224" s="862"/>
      <c r="TPB224" s="863"/>
      <c r="TPC224" s="861"/>
      <c r="TPD224" s="862"/>
      <c r="TPE224" s="862"/>
      <c r="TPF224" s="862"/>
      <c r="TPG224" s="862"/>
      <c r="TPH224" s="863"/>
      <c r="TPI224" s="861"/>
      <c r="TPJ224" s="862"/>
      <c r="TPK224" s="862"/>
      <c r="TPL224" s="862"/>
      <c r="TPM224" s="862"/>
      <c r="TPN224" s="863"/>
      <c r="TPO224" s="861"/>
      <c r="TPP224" s="862"/>
      <c r="TPQ224" s="862"/>
      <c r="TPR224" s="862"/>
      <c r="TPS224" s="862"/>
      <c r="TPT224" s="863"/>
      <c r="TPU224" s="861"/>
      <c r="TPV224" s="862"/>
      <c r="TPW224" s="862"/>
      <c r="TPX224" s="862"/>
      <c r="TPY224" s="862"/>
      <c r="TPZ224" s="863"/>
      <c r="TQA224" s="861"/>
      <c r="TQB224" s="862"/>
      <c r="TQC224" s="862"/>
      <c r="TQD224" s="862"/>
      <c r="TQE224" s="862"/>
      <c r="TQF224" s="863"/>
      <c r="TQG224" s="861"/>
      <c r="TQH224" s="862"/>
      <c r="TQI224" s="862"/>
      <c r="TQJ224" s="862"/>
      <c r="TQK224" s="862"/>
      <c r="TQL224" s="863"/>
      <c r="TQM224" s="861"/>
      <c r="TQN224" s="862"/>
      <c r="TQO224" s="862"/>
      <c r="TQP224" s="862"/>
      <c r="TQQ224" s="862"/>
      <c r="TQR224" s="863"/>
      <c r="TQS224" s="861"/>
      <c r="TQT224" s="862"/>
      <c r="TQU224" s="862"/>
      <c r="TQV224" s="862"/>
      <c r="TQW224" s="862"/>
      <c r="TQX224" s="863"/>
      <c r="TQY224" s="861"/>
      <c r="TQZ224" s="862"/>
      <c r="TRA224" s="862"/>
      <c r="TRB224" s="862"/>
      <c r="TRC224" s="862"/>
      <c r="TRD224" s="863"/>
      <c r="TRE224" s="861"/>
      <c r="TRF224" s="862"/>
      <c r="TRG224" s="862"/>
      <c r="TRH224" s="862"/>
      <c r="TRI224" s="862"/>
      <c r="TRJ224" s="863"/>
      <c r="TRK224" s="861"/>
      <c r="TRL224" s="862"/>
      <c r="TRM224" s="862"/>
      <c r="TRN224" s="862"/>
      <c r="TRO224" s="862"/>
      <c r="TRP224" s="863"/>
      <c r="TRQ224" s="861"/>
      <c r="TRR224" s="862"/>
      <c r="TRS224" s="862"/>
      <c r="TRT224" s="862"/>
      <c r="TRU224" s="862"/>
      <c r="TRV224" s="863"/>
      <c r="TRW224" s="861"/>
      <c r="TRX224" s="862"/>
      <c r="TRY224" s="862"/>
      <c r="TRZ224" s="862"/>
      <c r="TSA224" s="862"/>
      <c r="TSB224" s="863"/>
      <c r="TSC224" s="861"/>
      <c r="TSD224" s="862"/>
      <c r="TSE224" s="862"/>
      <c r="TSF224" s="862"/>
      <c r="TSG224" s="862"/>
      <c r="TSH224" s="863"/>
      <c r="TSI224" s="861"/>
      <c r="TSJ224" s="862"/>
      <c r="TSK224" s="862"/>
      <c r="TSL224" s="862"/>
      <c r="TSM224" s="862"/>
      <c r="TSN224" s="863"/>
      <c r="TSO224" s="861"/>
      <c r="TSP224" s="862"/>
      <c r="TSQ224" s="862"/>
      <c r="TSR224" s="862"/>
      <c r="TSS224" s="862"/>
      <c r="TST224" s="863"/>
      <c r="TSU224" s="861"/>
      <c r="TSV224" s="862"/>
      <c r="TSW224" s="862"/>
      <c r="TSX224" s="862"/>
      <c r="TSY224" s="862"/>
      <c r="TSZ224" s="863"/>
      <c r="TTA224" s="861"/>
      <c r="TTB224" s="862"/>
      <c r="TTC224" s="862"/>
      <c r="TTD224" s="862"/>
      <c r="TTE224" s="862"/>
      <c r="TTF224" s="863"/>
      <c r="TTG224" s="861"/>
      <c r="TTH224" s="862"/>
      <c r="TTI224" s="862"/>
      <c r="TTJ224" s="862"/>
      <c r="TTK224" s="862"/>
      <c r="TTL224" s="863"/>
      <c r="TTM224" s="861"/>
      <c r="TTN224" s="862"/>
      <c r="TTO224" s="862"/>
      <c r="TTP224" s="862"/>
      <c r="TTQ224" s="862"/>
      <c r="TTR224" s="863"/>
      <c r="TTS224" s="861"/>
      <c r="TTT224" s="862"/>
      <c r="TTU224" s="862"/>
      <c r="TTV224" s="862"/>
      <c r="TTW224" s="862"/>
      <c r="TTX224" s="863"/>
      <c r="TTY224" s="861"/>
      <c r="TTZ224" s="862"/>
      <c r="TUA224" s="862"/>
      <c r="TUB224" s="862"/>
      <c r="TUC224" s="862"/>
      <c r="TUD224" s="863"/>
      <c r="TUE224" s="861"/>
      <c r="TUF224" s="862"/>
      <c r="TUG224" s="862"/>
      <c r="TUH224" s="862"/>
      <c r="TUI224" s="862"/>
      <c r="TUJ224" s="863"/>
      <c r="TUK224" s="861"/>
      <c r="TUL224" s="862"/>
      <c r="TUM224" s="862"/>
      <c r="TUN224" s="862"/>
      <c r="TUO224" s="862"/>
      <c r="TUP224" s="863"/>
      <c r="TUQ224" s="861"/>
      <c r="TUR224" s="862"/>
      <c r="TUS224" s="862"/>
      <c r="TUT224" s="862"/>
      <c r="TUU224" s="862"/>
      <c r="TUV224" s="863"/>
      <c r="TUW224" s="861"/>
      <c r="TUX224" s="862"/>
      <c r="TUY224" s="862"/>
      <c r="TUZ224" s="862"/>
      <c r="TVA224" s="862"/>
      <c r="TVB224" s="863"/>
      <c r="TVC224" s="861"/>
      <c r="TVD224" s="862"/>
      <c r="TVE224" s="862"/>
      <c r="TVF224" s="862"/>
      <c r="TVG224" s="862"/>
      <c r="TVH224" s="863"/>
      <c r="TVI224" s="861"/>
      <c r="TVJ224" s="862"/>
      <c r="TVK224" s="862"/>
      <c r="TVL224" s="862"/>
      <c r="TVM224" s="862"/>
      <c r="TVN224" s="863"/>
      <c r="TVO224" s="861"/>
      <c r="TVP224" s="862"/>
      <c r="TVQ224" s="862"/>
      <c r="TVR224" s="862"/>
      <c r="TVS224" s="862"/>
      <c r="TVT224" s="863"/>
      <c r="TVU224" s="861"/>
      <c r="TVV224" s="862"/>
      <c r="TVW224" s="862"/>
      <c r="TVX224" s="862"/>
      <c r="TVY224" s="862"/>
      <c r="TVZ224" s="863"/>
      <c r="TWA224" s="861"/>
      <c r="TWB224" s="862"/>
      <c r="TWC224" s="862"/>
      <c r="TWD224" s="862"/>
      <c r="TWE224" s="862"/>
      <c r="TWF224" s="863"/>
      <c r="TWG224" s="861"/>
      <c r="TWH224" s="862"/>
      <c r="TWI224" s="862"/>
      <c r="TWJ224" s="862"/>
      <c r="TWK224" s="862"/>
      <c r="TWL224" s="863"/>
      <c r="TWM224" s="861"/>
      <c r="TWN224" s="862"/>
      <c r="TWO224" s="862"/>
      <c r="TWP224" s="862"/>
      <c r="TWQ224" s="862"/>
      <c r="TWR224" s="863"/>
      <c r="TWS224" s="861"/>
      <c r="TWT224" s="862"/>
      <c r="TWU224" s="862"/>
      <c r="TWV224" s="862"/>
      <c r="TWW224" s="862"/>
      <c r="TWX224" s="863"/>
      <c r="TWY224" s="861"/>
      <c r="TWZ224" s="862"/>
      <c r="TXA224" s="862"/>
      <c r="TXB224" s="862"/>
      <c r="TXC224" s="862"/>
      <c r="TXD224" s="863"/>
      <c r="TXE224" s="861"/>
      <c r="TXF224" s="862"/>
      <c r="TXG224" s="862"/>
      <c r="TXH224" s="862"/>
      <c r="TXI224" s="862"/>
      <c r="TXJ224" s="863"/>
      <c r="TXK224" s="861"/>
      <c r="TXL224" s="862"/>
      <c r="TXM224" s="862"/>
      <c r="TXN224" s="862"/>
      <c r="TXO224" s="862"/>
      <c r="TXP224" s="863"/>
      <c r="TXQ224" s="861"/>
      <c r="TXR224" s="862"/>
      <c r="TXS224" s="862"/>
      <c r="TXT224" s="862"/>
      <c r="TXU224" s="862"/>
      <c r="TXV224" s="863"/>
      <c r="TXW224" s="861"/>
      <c r="TXX224" s="862"/>
      <c r="TXY224" s="862"/>
      <c r="TXZ224" s="862"/>
      <c r="TYA224" s="862"/>
      <c r="TYB224" s="863"/>
      <c r="TYC224" s="861"/>
      <c r="TYD224" s="862"/>
      <c r="TYE224" s="862"/>
      <c r="TYF224" s="862"/>
      <c r="TYG224" s="862"/>
      <c r="TYH224" s="863"/>
      <c r="TYI224" s="861"/>
      <c r="TYJ224" s="862"/>
      <c r="TYK224" s="862"/>
      <c r="TYL224" s="862"/>
      <c r="TYM224" s="862"/>
      <c r="TYN224" s="863"/>
      <c r="TYO224" s="861"/>
      <c r="TYP224" s="862"/>
      <c r="TYQ224" s="862"/>
      <c r="TYR224" s="862"/>
      <c r="TYS224" s="862"/>
      <c r="TYT224" s="863"/>
      <c r="TYU224" s="861"/>
      <c r="TYV224" s="862"/>
      <c r="TYW224" s="862"/>
      <c r="TYX224" s="862"/>
      <c r="TYY224" s="862"/>
      <c r="TYZ224" s="863"/>
      <c r="TZA224" s="861"/>
      <c r="TZB224" s="862"/>
      <c r="TZC224" s="862"/>
      <c r="TZD224" s="862"/>
      <c r="TZE224" s="862"/>
      <c r="TZF224" s="863"/>
      <c r="TZG224" s="861"/>
      <c r="TZH224" s="862"/>
      <c r="TZI224" s="862"/>
      <c r="TZJ224" s="862"/>
      <c r="TZK224" s="862"/>
      <c r="TZL224" s="863"/>
      <c r="TZM224" s="861"/>
      <c r="TZN224" s="862"/>
      <c r="TZO224" s="862"/>
      <c r="TZP224" s="862"/>
      <c r="TZQ224" s="862"/>
      <c r="TZR224" s="863"/>
      <c r="TZS224" s="861"/>
      <c r="TZT224" s="862"/>
      <c r="TZU224" s="862"/>
      <c r="TZV224" s="862"/>
      <c r="TZW224" s="862"/>
      <c r="TZX224" s="863"/>
      <c r="TZY224" s="861"/>
      <c r="TZZ224" s="862"/>
      <c r="UAA224" s="862"/>
      <c r="UAB224" s="862"/>
      <c r="UAC224" s="862"/>
      <c r="UAD224" s="863"/>
      <c r="UAE224" s="861"/>
      <c r="UAF224" s="862"/>
      <c r="UAG224" s="862"/>
      <c r="UAH224" s="862"/>
      <c r="UAI224" s="862"/>
      <c r="UAJ224" s="863"/>
      <c r="UAK224" s="861"/>
      <c r="UAL224" s="862"/>
      <c r="UAM224" s="862"/>
      <c r="UAN224" s="862"/>
      <c r="UAO224" s="862"/>
      <c r="UAP224" s="863"/>
      <c r="UAQ224" s="861"/>
      <c r="UAR224" s="862"/>
      <c r="UAS224" s="862"/>
      <c r="UAT224" s="862"/>
      <c r="UAU224" s="862"/>
      <c r="UAV224" s="863"/>
      <c r="UAW224" s="861"/>
      <c r="UAX224" s="862"/>
      <c r="UAY224" s="862"/>
      <c r="UAZ224" s="862"/>
      <c r="UBA224" s="862"/>
      <c r="UBB224" s="863"/>
      <c r="UBC224" s="861"/>
      <c r="UBD224" s="862"/>
      <c r="UBE224" s="862"/>
      <c r="UBF224" s="862"/>
      <c r="UBG224" s="862"/>
      <c r="UBH224" s="863"/>
      <c r="UBI224" s="861"/>
      <c r="UBJ224" s="862"/>
      <c r="UBK224" s="862"/>
      <c r="UBL224" s="862"/>
      <c r="UBM224" s="862"/>
      <c r="UBN224" s="863"/>
      <c r="UBO224" s="861"/>
      <c r="UBP224" s="862"/>
      <c r="UBQ224" s="862"/>
      <c r="UBR224" s="862"/>
      <c r="UBS224" s="862"/>
      <c r="UBT224" s="863"/>
      <c r="UBU224" s="861"/>
      <c r="UBV224" s="862"/>
      <c r="UBW224" s="862"/>
      <c r="UBX224" s="862"/>
      <c r="UBY224" s="862"/>
      <c r="UBZ224" s="863"/>
      <c r="UCA224" s="861"/>
      <c r="UCB224" s="862"/>
      <c r="UCC224" s="862"/>
      <c r="UCD224" s="862"/>
      <c r="UCE224" s="862"/>
      <c r="UCF224" s="863"/>
      <c r="UCG224" s="861"/>
      <c r="UCH224" s="862"/>
      <c r="UCI224" s="862"/>
      <c r="UCJ224" s="862"/>
      <c r="UCK224" s="862"/>
      <c r="UCL224" s="863"/>
      <c r="UCM224" s="861"/>
      <c r="UCN224" s="862"/>
      <c r="UCO224" s="862"/>
      <c r="UCP224" s="862"/>
      <c r="UCQ224" s="862"/>
      <c r="UCR224" s="863"/>
      <c r="UCS224" s="861"/>
      <c r="UCT224" s="862"/>
      <c r="UCU224" s="862"/>
      <c r="UCV224" s="862"/>
      <c r="UCW224" s="862"/>
      <c r="UCX224" s="863"/>
      <c r="UCY224" s="861"/>
      <c r="UCZ224" s="862"/>
      <c r="UDA224" s="862"/>
      <c r="UDB224" s="862"/>
      <c r="UDC224" s="862"/>
      <c r="UDD224" s="863"/>
      <c r="UDE224" s="861"/>
      <c r="UDF224" s="862"/>
      <c r="UDG224" s="862"/>
      <c r="UDH224" s="862"/>
      <c r="UDI224" s="862"/>
      <c r="UDJ224" s="863"/>
      <c r="UDK224" s="861"/>
      <c r="UDL224" s="862"/>
      <c r="UDM224" s="862"/>
      <c r="UDN224" s="862"/>
      <c r="UDO224" s="862"/>
      <c r="UDP224" s="863"/>
      <c r="UDQ224" s="861"/>
      <c r="UDR224" s="862"/>
      <c r="UDS224" s="862"/>
      <c r="UDT224" s="862"/>
      <c r="UDU224" s="862"/>
      <c r="UDV224" s="863"/>
      <c r="UDW224" s="861"/>
      <c r="UDX224" s="862"/>
      <c r="UDY224" s="862"/>
      <c r="UDZ224" s="862"/>
      <c r="UEA224" s="862"/>
      <c r="UEB224" s="863"/>
      <c r="UEC224" s="861"/>
      <c r="UED224" s="862"/>
      <c r="UEE224" s="862"/>
      <c r="UEF224" s="862"/>
      <c r="UEG224" s="862"/>
      <c r="UEH224" s="863"/>
      <c r="UEI224" s="861"/>
      <c r="UEJ224" s="862"/>
      <c r="UEK224" s="862"/>
      <c r="UEL224" s="862"/>
      <c r="UEM224" s="862"/>
      <c r="UEN224" s="863"/>
      <c r="UEO224" s="861"/>
      <c r="UEP224" s="862"/>
      <c r="UEQ224" s="862"/>
      <c r="UER224" s="862"/>
      <c r="UES224" s="862"/>
      <c r="UET224" s="863"/>
      <c r="UEU224" s="861"/>
      <c r="UEV224" s="862"/>
      <c r="UEW224" s="862"/>
      <c r="UEX224" s="862"/>
      <c r="UEY224" s="862"/>
      <c r="UEZ224" s="863"/>
      <c r="UFA224" s="861"/>
      <c r="UFB224" s="862"/>
      <c r="UFC224" s="862"/>
      <c r="UFD224" s="862"/>
      <c r="UFE224" s="862"/>
      <c r="UFF224" s="863"/>
      <c r="UFG224" s="861"/>
      <c r="UFH224" s="862"/>
      <c r="UFI224" s="862"/>
      <c r="UFJ224" s="862"/>
      <c r="UFK224" s="862"/>
      <c r="UFL224" s="863"/>
      <c r="UFM224" s="861"/>
      <c r="UFN224" s="862"/>
      <c r="UFO224" s="862"/>
      <c r="UFP224" s="862"/>
      <c r="UFQ224" s="862"/>
      <c r="UFR224" s="863"/>
      <c r="UFS224" s="861"/>
      <c r="UFT224" s="862"/>
      <c r="UFU224" s="862"/>
      <c r="UFV224" s="862"/>
      <c r="UFW224" s="862"/>
      <c r="UFX224" s="863"/>
      <c r="UFY224" s="861"/>
      <c r="UFZ224" s="862"/>
      <c r="UGA224" s="862"/>
      <c r="UGB224" s="862"/>
      <c r="UGC224" s="862"/>
      <c r="UGD224" s="863"/>
      <c r="UGE224" s="861"/>
      <c r="UGF224" s="862"/>
      <c r="UGG224" s="862"/>
      <c r="UGH224" s="862"/>
      <c r="UGI224" s="862"/>
      <c r="UGJ224" s="863"/>
      <c r="UGK224" s="861"/>
      <c r="UGL224" s="862"/>
      <c r="UGM224" s="862"/>
      <c r="UGN224" s="862"/>
      <c r="UGO224" s="862"/>
      <c r="UGP224" s="863"/>
      <c r="UGQ224" s="861"/>
      <c r="UGR224" s="862"/>
      <c r="UGS224" s="862"/>
      <c r="UGT224" s="862"/>
      <c r="UGU224" s="862"/>
      <c r="UGV224" s="863"/>
      <c r="UGW224" s="861"/>
      <c r="UGX224" s="862"/>
      <c r="UGY224" s="862"/>
      <c r="UGZ224" s="862"/>
      <c r="UHA224" s="862"/>
      <c r="UHB224" s="863"/>
      <c r="UHC224" s="861"/>
      <c r="UHD224" s="862"/>
      <c r="UHE224" s="862"/>
      <c r="UHF224" s="862"/>
      <c r="UHG224" s="862"/>
      <c r="UHH224" s="863"/>
      <c r="UHI224" s="861"/>
      <c r="UHJ224" s="862"/>
      <c r="UHK224" s="862"/>
      <c r="UHL224" s="862"/>
      <c r="UHM224" s="862"/>
      <c r="UHN224" s="863"/>
      <c r="UHO224" s="861"/>
      <c r="UHP224" s="862"/>
      <c r="UHQ224" s="862"/>
      <c r="UHR224" s="862"/>
      <c r="UHS224" s="862"/>
      <c r="UHT224" s="863"/>
      <c r="UHU224" s="861"/>
      <c r="UHV224" s="862"/>
      <c r="UHW224" s="862"/>
      <c r="UHX224" s="862"/>
      <c r="UHY224" s="862"/>
      <c r="UHZ224" s="863"/>
      <c r="UIA224" s="861"/>
      <c r="UIB224" s="862"/>
      <c r="UIC224" s="862"/>
      <c r="UID224" s="862"/>
      <c r="UIE224" s="862"/>
      <c r="UIF224" s="863"/>
      <c r="UIG224" s="861"/>
      <c r="UIH224" s="862"/>
      <c r="UII224" s="862"/>
      <c r="UIJ224" s="862"/>
      <c r="UIK224" s="862"/>
      <c r="UIL224" s="863"/>
      <c r="UIM224" s="861"/>
      <c r="UIN224" s="862"/>
      <c r="UIO224" s="862"/>
      <c r="UIP224" s="862"/>
      <c r="UIQ224" s="862"/>
      <c r="UIR224" s="863"/>
      <c r="UIS224" s="861"/>
      <c r="UIT224" s="862"/>
      <c r="UIU224" s="862"/>
      <c r="UIV224" s="862"/>
      <c r="UIW224" s="862"/>
      <c r="UIX224" s="863"/>
      <c r="UIY224" s="861"/>
      <c r="UIZ224" s="862"/>
      <c r="UJA224" s="862"/>
      <c r="UJB224" s="862"/>
      <c r="UJC224" s="862"/>
      <c r="UJD224" s="863"/>
      <c r="UJE224" s="861"/>
      <c r="UJF224" s="862"/>
      <c r="UJG224" s="862"/>
      <c r="UJH224" s="862"/>
      <c r="UJI224" s="862"/>
      <c r="UJJ224" s="863"/>
      <c r="UJK224" s="861"/>
      <c r="UJL224" s="862"/>
      <c r="UJM224" s="862"/>
      <c r="UJN224" s="862"/>
      <c r="UJO224" s="862"/>
      <c r="UJP224" s="863"/>
      <c r="UJQ224" s="861"/>
      <c r="UJR224" s="862"/>
      <c r="UJS224" s="862"/>
      <c r="UJT224" s="862"/>
      <c r="UJU224" s="862"/>
      <c r="UJV224" s="863"/>
      <c r="UJW224" s="861"/>
      <c r="UJX224" s="862"/>
      <c r="UJY224" s="862"/>
      <c r="UJZ224" s="862"/>
      <c r="UKA224" s="862"/>
      <c r="UKB224" s="863"/>
      <c r="UKC224" s="861"/>
      <c r="UKD224" s="862"/>
      <c r="UKE224" s="862"/>
      <c r="UKF224" s="862"/>
      <c r="UKG224" s="862"/>
      <c r="UKH224" s="863"/>
      <c r="UKI224" s="861"/>
      <c r="UKJ224" s="862"/>
      <c r="UKK224" s="862"/>
      <c r="UKL224" s="862"/>
      <c r="UKM224" s="862"/>
      <c r="UKN224" s="863"/>
      <c r="UKO224" s="861"/>
      <c r="UKP224" s="862"/>
      <c r="UKQ224" s="862"/>
      <c r="UKR224" s="862"/>
      <c r="UKS224" s="862"/>
      <c r="UKT224" s="863"/>
      <c r="UKU224" s="861"/>
      <c r="UKV224" s="862"/>
      <c r="UKW224" s="862"/>
      <c r="UKX224" s="862"/>
      <c r="UKY224" s="862"/>
      <c r="UKZ224" s="863"/>
      <c r="ULA224" s="861"/>
      <c r="ULB224" s="862"/>
      <c r="ULC224" s="862"/>
      <c r="ULD224" s="862"/>
      <c r="ULE224" s="862"/>
      <c r="ULF224" s="863"/>
      <c r="ULG224" s="861"/>
      <c r="ULH224" s="862"/>
      <c r="ULI224" s="862"/>
      <c r="ULJ224" s="862"/>
      <c r="ULK224" s="862"/>
      <c r="ULL224" s="863"/>
      <c r="ULM224" s="861"/>
      <c r="ULN224" s="862"/>
      <c r="ULO224" s="862"/>
      <c r="ULP224" s="862"/>
      <c r="ULQ224" s="862"/>
      <c r="ULR224" s="863"/>
      <c r="ULS224" s="861"/>
      <c r="ULT224" s="862"/>
      <c r="ULU224" s="862"/>
      <c r="ULV224" s="862"/>
      <c r="ULW224" s="862"/>
      <c r="ULX224" s="863"/>
      <c r="ULY224" s="861"/>
      <c r="ULZ224" s="862"/>
      <c r="UMA224" s="862"/>
      <c r="UMB224" s="862"/>
      <c r="UMC224" s="862"/>
      <c r="UMD224" s="863"/>
      <c r="UME224" s="861"/>
      <c r="UMF224" s="862"/>
      <c r="UMG224" s="862"/>
      <c r="UMH224" s="862"/>
      <c r="UMI224" s="862"/>
      <c r="UMJ224" s="863"/>
      <c r="UMK224" s="861"/>
      <c r="UML224" s="862"/>
      <c r="UMM224" s="862"/>
      <c r="UMN224" s="862"/>
      <c r="UMO224" s="862"/>
      <c r="UMP224" s="863"/>
      <c r="UMQ224" s="861"/>
      <c r="UMR224" s="862"/>
      <c r="UMS224" s="862"/>
      <c r="UMT224" s="862"/>
      <c r="UMU224" s="862"/>
      <c r="UMV224" s="863"/>
      <c r="UMW224" s="861"/>
      <c r="UMX224" s="862"/>
      <c r="UMY224" s="862"/>
      <c r="UMZ224" s="862"/>
      <c r="UNA224" s="862"/>
      <c r="UNB224" s="863"/>
      <c r="UNC224" s="861"/>
      <c r="UND224" s="862"/>
      <c r="UNE224" s="862"/>
      <c r="UNF224" s="862"/>
      <c r="UNG224" s="862"/>
      <c r="UNH224" s="863"/>
      <c r="UNI224" s="861"/>
      <c r="UNJ224" s="862"/>
      <c r="UNK224" s="862"/>
      <c r="UNL224" s="862"/>
      <c r="UNM224" s="862"/>
      <c r="UNN224" s="863"/>
      <c r="UNO224" s="861"/>
      <c r="UNP224" s="862"/>
      <c r="UNQ224" s="862"/>
      <c r="UNR224" s="862"/>
      <c r="UNS224" s="862"/>
      <c r="UNT224" s="863"/>
      <c r="UNU224" s="861"/>
      <c r="UNV224" s="862"/>
      <c r="UNW224" s="862"/>
      <c r="UNX224" s="862"/>
      <c r="UNY224" s="862"/>
      <c r="UNZ224" s="863"/>
      <c r="UOA224" s="861"/>
      <c r="UOB224" s="862"/>
      <c r="UOC224" s="862"/>
      <c r="UOD224" s="862"/>
      <c r="UOE224" s="862"/>
      <c r="UOF224" s="863"/>
      <c r="UOG224" s="861"/>
      <c r="UOH224" s="862"/>
      <c r="UOI224" s="862"/>
      <c r="UOJ224" s="862"/>
      <c r="UOK224" s="862"/>
      <c r="UOL224" s="863"/>
      <c r="UOM224" s="861"/>
      <c r="UON224" s="862"/>
      <c r="UOO224" s="862"/>
      <c r="UOP224" s="862"/>
      <c r="UOQ224" s="862"/>
      <c r="UOR224" s="863"/>
      <c r="UOS224" s="861"/>
      <c r="UOT224" s="862"/>
      <c r="UOU224" s="862"/>
      <c r="UOV224" s="862"/>
      <c r="UOW224" s="862"/>
      <c r="UOX224" s="863"/>
      <c r="UOY224" s="861"/>
      <c r="UOZ224" s="862"/>
      <c r="UPA224" s="862"/>
      <c r="UPB224" s="862"/>
      <c r="UPC224" s="862"/>
      <c r="UPD224" s="863"/>
      <c r="UPE224" s="861"/>
      <c r="UPF224" s="862"/>
      <c r="UPG224" s="862"/>
      <c r="UPH224" s="862"/>
      <c r="UPI224" s="862"/>
      <c r="UPJ224" s="863"/>
      <c r="UPK224" s="861"/>
      <c r="UPL224" s="862"/>
      <c r="UPM224" s="862"/>
      <c r="UPN224" s="862"/>
      <c r="UPO224" s="862"/>
      <c r="UPP224" s="863"/>
      <c r="UPQ224" s="861"/>
      <c r="UPR224" s="862"/>
      <c r="UPS224" s="862"/>
      <c r="UPT224" s="862"/>
      <c r="UPU224" s="862"/>
      <c r="UPV224" s="863"/>
      <c r="UPW224" s="861"/>
      <c r="UPX224" s="862"/>
      <c r="UPY224" s="862"/>
      <c r="UPZ224" s="862"/>
      <c r="UQA224" s="862"/>
      <c r="UQB224" s="863"/>
      <c r="UQC224" s="861"/>
      <c r="UQD224" s="862"/>
      <c r="UQE224" s="862"/>
      <c r="UQF224" s="862"/>
      <c r="UQG224" s="862"/>
      <c r="UQH224" s="863"/>
      <c r="UQI224" s="861"/>
      <c r="UQJ224" s="862"/>
      <c r="UQK224" s="862"/>
      <c r="UQL224" s="862"/>
      <c r="UQM224" s="862"/>
      <c r="UQN224" s="863"/>
      <c r="UQO224" s="861"/>
      <c r="UQP224" s="862"/>
      <c r="UQQ224" s="862"/>
      <c r="UQR224" s="862"/>
      <c r="UQS224" s="862"/>
      <c r="UQT224" s="863"/>
      <c r="UQU224" s="861"/>
      <c r="UQV224" s="862"/>
      <c r="UQW224" s="862"/>
      <c r="UQX224" s="862"/>
      <c r="UQY224" s="862"/>
      <c r="UQZ224" s="863"/>
      <c r="URA224" s="861"/>
      <c r="URB224" s="862"/>
      <c r="URC224" s="862"/>
      <c r="URD224" s="862"/>
      <c r="URE224" s="862"/>
      <c r="URF224" s="863"/>
      <c r="URG224" s="861"/>
      <c r="URH224" s="862"/>
      <c r="URI224" s="862"/>
      <c r="URJ224" s="862"/>
      <c r="URK224" s="862"/>
      <c r="URL224" s="863"/>
      <c r="URM224" s="861"/>
      <c r="URN224" s="862"/>
      <c r="URO224" s="862"/>
      <c r="URP224" s="862"/>
      <c r="URQ224" s="862"/>
      <c r="URR224" s="863"/>
      <c r="URS224" s="861"/>
      <c r="URT224" s="862"/>
      <c r="URU224" s="862"/>
      <c r="URV224" s="862"/>
      <c r="URW224" s="862"/>
      <c r="URX224" s="863"/>
      <c r="URY224" s="861"/>
      <c r="URZ224" s="862"/>
      <c r="USA224" s="862"/>
      <c r="USB224" s="862"/>
      <c r="USC224" s="862"/>
      <c r="USD224" s="863"/>
      <c r="USE224" s="861"/>
      <c r="USF224" s="862"/>
      <c r="USG224" s="862"/>
      <c r="USH224" s="862"/>
      <c r="USI224" s="862"/>
      <c r="USJ224" s="863"/>
      <c r="USK224" s="861"/>
      <c r="USL224" s="862"/>
      <c r="USM224" s="862"/>
      <c r="USN224" s="862"/>
      <c r="USO224" s="862"/>
      <c r="USP224" s="863"/>
      <c r="USQ224" s="861"/>
      <c r="USR224" s="862"/>
      <c r="USS224" s="862"/>
      <c r="UST224" s="862"/>
      <c r="USU224" s="862"/>
      <c r="USV224" s="863"/>
      <c r="USW224" s="861"/>
      <c r="USX224" s="862"/>
      <c r="USY224" s="862"/>
      <c r="USZ224" s="862"/>
      <c r="UTA224" s="862"/>
      <c r="UTB224" s="863"/>
      <c r="UTC224" s="861"/>
      <c r="UTD224" s="862"/>
      <c r="UTE224" s="862"/>
      <c r="UTF224" s="862"/>
      <c r="UTG224" s="862"/>
      <c r="UTH224" s="863"/>
      <c r="UTI224" s="861"/>
      <c r="UTJ224" s="862"/>
      <c r="UTK224" s="862"/>
      <c r="UTL224" s="862"/>
      <c r="UTM224" s="862"/>
      <c r="UTN224" s="863"/>
      <c r="UTO224" s="861"/>
      <c r="UTP224" s="862"/>
      <c r="UTQ224" s="862"/>
      <c r="UTR224" s="862"/>
      <c r="UTS224" s="862"/>
      <c r="UTT224" s="863"/>
      <c r="UTU224" s="861"/>
      <c r="UTV224" s="862"/>
      <c r="UTW224" s="862"/>
      <c r="UTX224" s="862"/>
      <c r="UTY224" s="862"/>
      <c r="UTZ224" s="863"/>
      <c r="UUA224" s="861"/>
      <c r="UUB224" s="862"/>
      <c r="UUC224" s="862"/>
      <c r="UUD224" s="862"/>
      <c r="UUE224" s="862"/>
      <c r="UUF224" s="863"/>
      <c r="UUG224" s="861"/>
      <c r="UUH224" s="862"/>
      <c r="UUI224" s="862"/>
      <c r="UUJ224" s="862"/>
      <c r="UUK224" s="862"/>
      <c r="UUL224" s="863"/>
      <c r="UUM224" s="861"/>
      <c r="UUN224" s="862"/>
      <c r="UUO224" s="862"/>
      <c r="UUP224" s="862"/>
      <c r="UUQ224" s="862"/>
      <c r="UUR224" s="863"/>
      <c r="UUS224" s="861"/>
      <c r="UUT224" s="862"/>
      <c r="UUU224" s="862"/>
      <c r="UUV224" s="862"/>
      <c r="UUW224" s="862"/>
      <c r="UUX224" s="863"/>
      <c r="UUY224" s="861"/>
      <c r="UUZ224" s="862"/>
      <c r="UVA224" s="862"/>
      <c r="UVB224" s="862"/>
      <c r="UVC224" s="862"/>
      <c r="UVD224" s="863"/>
      <c r="UVE224" s="861"/>
      <c r="UVF224" s="862"/>
      <c r="UVG224" s="862"/>
      <c r="UVH224" s="862"/>
      <c r="UVI224" s="862"/>
      <c r="UVJ224" s="863"/>
      <c r="UVK224" s="861"/>
      <c r="UVL224" s="862"/>
      <c r="UVM224" s="862"/>
      <c r="UVN224" s="862"/>
      <c r="UVO224" s="862"/>
      <c r="UVP224" s="863"/>
      <c r="UVQ224" s="861"/>
      <c r="UVR224" s="862"/>
      <c r="UVS224" s="862"/>
      <c r="UVT224" s="862"/>
      <c r="UVU224" s="862"/>
      <c r="UVV224" s="863"/>
      <c r="UVW224" s="861"/>
      <c r="UVX224" s="862"/>
      <c r="UVY224" s="862"/>
      <c r="UVZ224" s="862"/>
      <c r="UWA224" s="862"/>
      <c r="UWB224" s="863"/>
      <c r="UWC224" s="861"/>
      <c r="UWD224" s="862"/>
      <c r="UWE224" s="862"/>
      <c r="UWF224" s="862"/>
      <c r="UWG224" s="862"/>
      <c r="UWH224" s="863"/>
      <c r="UWI224" s="861"/>
      <c r="UWJ224" s="862"/>
      <c r="UWK224" s="862"/>
      <c r="UWL224" s="862"/>
      <c r="UWM224" s="862"/>
      <c r="UWN224" s="863"/>
      <c r="UWO224" s="861"/>
      <c r="UWP224" s="862"/>
      <c r="UWQ224" s="862"/>
      <c r="UWR224" s="862"/>
      <c r="UWS224" s="862"/>
      <c r="UWT224" s="863"/>
      <c r="UWU224" s="861"/>
      <c r="UWV224" s="862"/>
      <c r="UWW224" s="862"/>
      <c r="UWX224" s="862"/>
      <c r="UWY224" s="862"/>
      <c r="UWZ224" s="863"/>
      <c r="UXA224" s="861"/>
      <c r="UXB224" s="862"/>
      <c r="UXC224" s="862"/>
      <c r="UXD224" s="862"/>
      <c r="UXE224" s="862"/>
      <c r="UXF224" s="863"/>
      <c r="UXG224" s="861"/>
      <c r="UXH224" s="862"/>
      <c r="UXI224" s="862"/>
      <c r="UXJ224" s="862"/>
      <c r="UXK224" s="862"/>
      <c r="UXL224" s="863"/>
      <c r="UXM224" s="861"/>
      <c r="UXN224" s="862"/>
      <c r="UXO224" s="862"/>
      <c r="UXP224" s="862"/>
      <c r="UXQ224" s="862"/>
      <c r="UXR224" s="863"/>
      <c r="UXS224" s="861"/>
      <c r="UXT224" s="862"/>
      <c r="UXU224" s="862"/>
      <c r="UXV224" s="862"/>
      <c r="UXW224" s="862"/>
      <c r="UXX224" s="863"/>
      <c r="UXY224" s="861"/>
      <c r="UXZ224" s="862"/>
      <c r="UYA224" s="862"/>
      <c r="UYB224" s="862"/>
      <c r="UYC224" s="862"/>
      <c r="UYD224" s="863"/>
      <c r="UYE224" s="861"/>
      <c r="UYF224" s="862"/>
      <c r="UYG224" s="862"/>
      <c r="UYH224" s="862"/>
      <c r="UYI224" s="862"/>
      <c r="UYJ224" s="863"/>
      <c r="UYK224" s="861"/>
      <c r="UYL224" s="862"/>
      <c r="UYM224" s="862"/>
      <c r="UYN224" s="862"/>
      <c r="UYO224" s="862"/>
      <c r="UYP224" s="863"/>
      <c r="UYQ224" s="861"/>
      <c r="UYR224" s="862"/>
      <c r="UYS224" s="862"/>
      <c r="UYT224" s="862"/>
      <c r="UYU224" s="862"/>
      <c r="UYV224" s="863"/>
      <c r="UYW224" s="861"/>
      <c r="UYX224" s="862"/>
      <c r="UYY224" s="862"/>
      <c r="UYZ224" s="862"/>
      <c r="UZA224" s="862"/>
      <c r="UZB224" s="863"/>
      <c r="UZC224" s="861"/>
      <c r="UZD224" s="862"/>
      <c r="UZE224" s="862"/>
      <c r="UZF224" s="862"/>
      <c r="UZG224" s="862"/>
      <c r="UZH224" s="863"/>
      <c r="UZI224" s="861"/>
      <c r="UZJ224" s="862"/>
      <c r="UZK224" s="862"/>
      <c r="UZL224" s="862"/>
      <c r="UZM224" s="862"/>
      <c r="UZN224" s="863"/>
      <c r="UZO224" s="861"/>
      <c r="UZP224" s="862"/>
      <c r="UZQ224" s="862"/>
      <c r="UZR224" s="862"/>
      <c r="UZS224" s="862"/>
      <c r="UZT224" s="863"/>
      <c r="UZU224" s="861"/>
      <c r="UZV224" s="862"/>
      <c r="UZW224" s="862"/>
      <c r="UZX224" s="862"/>
      <c r="UZY224" s="862"/>
      <c r="UZZ224" s="863"/>
      <c r="VAA224" s="861"/>
      <c r="VAB224" s="862"/>
      <c r="VAC224" s="862"/>
      <c r="VAD224" s="862"/>
      <c r="VAE224" s="862"/>
      <c r="VAF224" s="863"/>
      <c r="VAG224" s="861"/>
      <c r="VAH224" s="862"/>
      <c r="VAI224" s="862"/>
      <c r="VAJ224" s="862"/>
      <c r="VAK224" s="862"/>
      <c r="VAL224" s="863"/>
      <c r="VAM224" s="861"/>
      <c r="VAN224" s="862"/>
      <c r="VAO224" s="862"/>
      <c r="VAP224" s="862"/>
      <c r="VAQ224" s="862"/>
      <c r="VAR224" s="863"/>
      <c r="VAS224" s="861"/>
      <c r="VAT224" s="862"/>
      <c r="VAU224" s="862"/>
      <c r="VAV224" s="862"/>
      <c r="VAW224" s="862"/>
      <c r="VAX224" s="863"/>
      <c r="VAY224" s="861"/>
      <c r="VAZ224" s="862"/>
      <c r="VBA224" s="862"/>
      <c r="VBB224" s="862"/>
      <c r="VBC224" s="862"/>
      <c r="VBD224" s="863"/>
      <c r="VBE224" s="861"/>
      <c r="VBF224" s="862"/>
      <c r="VBG224" s="862"/>
      <c r="VBH224" s="862"/>
      <c r="VBI224" s="862"/>
      <c r="VBJ224" s="863"/>
      <c r="VBK224" s="861"/>
      <c r="VBL224" s="862"/>
      <c r="VBM224" s="862"/>
      <c r="VBN224" s="862"/>
      <c r="VBO224" s="862"/>
      <c r="VBP224" s="863"/>
      <c r="VBQ224" s="861"/>
      <c r="VBR224" s="862"/>
      <c r="VBS224" s="862"/>
      <c r="VBT224" s="862"/>
      <c r="VBU224" s="862"/>
      <c r="VBV224" s="863"/>
      <c r="VBW224" s="861"/>
      <c r="VBX224" s="862"/>
      <c r="VBY224" s="862"/>
      <c r="VBZ224" s="862"/>
      <c r="VCA224" s="862"/>
      <c r="VCB224" s="863"/>
      <c r="VCC224" s="861"/>
      <c r="VCD224" s="862"/>
      <c r="VCE224" s="862"/>
      <c r="VCF224" s="862"/>
      <c r="VCG224" s="862"/>
      <c r="VCH224" s="863"/>
      <c r="VCI224" s="861"/>
      <c r="VCJ224" s="862"/>
      <c r="VCK224" s="862"/>
      <c r="VCL224" s="862"/>
      <c r="VCM224" s="862"/>
      <c r="VCN224" s="863"/>
      <c r="VCO224" s="861"/>
      <c r="VCP224" s="862"/>
      <c r="VCQ224" s="862"/>
      <c r="VCR224" s="862"/>
      <c r="VCS224" s="862"/>
      <c r="VCT224" s="863"/>
      <c r="VCU224" s="861"/>
      <c r="VCV224" s="862"/>
      <c r="VCW224" s="862"/>
      <c r="VCX224" s="862"/>
      <c r="VCY224" s="862"/>
      <c r="VCZ224" s="863"/>
      <c r="VDA224" s="861"/>
      <c r="VDB224" s="862"/>
      <c r="VDC224" s="862"/>
      <c r="VDD224" s="862"/>
      <c r="VDE224" s="862"/>
      <c r="VDF224" s="863"/>
      <c r="VDG224" s="861"/>
      <c r="VDH224" s="862"/>
      <c r="VDI224" s="862"/>
      <c r="VDJ224" s="862"/>
      <c r="VDK224" s="862"/>
      <c r="VDL224" s="863"/>
      <c r="VDM224" s="861"/>
      <c r="VDN224" s="862"/>
      <c r="VDO224" s="862"/>
      <c r="VDP224" s="862"/>
      <c r="VDQ224" s="862"/>
      <c r="VDR224" s="863"/>
      <c r="VDS224" s="861"/>
      <c r="VDT224" s="862"/>
      <c r="VDU224" s="862"/>
      <c r="VDV224" s="862"/>
      <c r="VDW224" s="862"/>
      <c r="VDX224" s="863"/>
      <c r="VDY224" s="861"/>
      <c r="VDZ224" s="862"/>
      <c r="VEA224" s="862"/>
      <c r="VEB224" s="862"/>
      <c r="VEC224" s="862"/>
      <c r="VED224" s="863"/>
      <c r="VEE224" s="861"/>
      <c r="VEF224" s="862"/>
      <c r="VEG224" s="862"/>
      <c r="VEH224" s="862"/>
      <c r="VEI224" s="862"/>
      <c r="VEJ224" s="863"/>
      <c r="VEK224" s="861"/>
      <c r="VEL224" s="862"/>
      <c r="VEM224" s="862"/>
      <c r="VEN224" s="862"/>
      <c r="VEO224" s="862"/>
      <c r="VEP224" s="863"/>
      <c r="VEQ224" s="861"/>
      <c r="VER224" s="862"/>
      <c r="VES224" s="862"/>
      <c r="VET224" s="862"/>
      <c r="VEU224" s="862"/>
      <c r="VEV224" s="863"/>
      <c r="VEW224" s="861"/>
      <c r="VEX224" s="862"/>
      <c r="VEY224" s="862"/>
      <c r="VEZ224" s="862"/>
      <c r="VFA224" s="862"/>
      <c r="VFB224" s="863"/>
      <c r="VFC224" s="861"/>
      <c r="VFD224" s="862"/>
      <c r="VFE224" s="862"/>
      <c r="VFF224" s="862"/>
      <c r="VFG224" s="862"/>
      <c r="VFH224" s="863"/>
      <c r="VFI224" s="861"/>
      <c r="VFJ224" s="862"/>
      <c r="VFK224" s="862"/>
      <c r="VFL224" s="862"/>
      <c r="VFM224" s="862"/>
      <c r="VFN224" s="863"/>
      <c r="VFO224" s="861"/>
      <c r="VFP224" s="862"/>
      <c r="VFQ224" s="862"/>
      <c r="VFR224" s="862"/>
      <c r="VFS224" s="862"/>
      <c r="VFT224" s="863"/>
      <c r="VFU224" s="861"/>
      <c r="VFV224" s="862"/>
      <c r="VFW224" s="862"/>
      <c r="VFX224" s="862"/>
      <c r="VFY224" s="862"/>
      <c r="VFZ224" s="863"/>
      <c r="VGA224" s="861"/>
      <c r="VGB224" s="862"/>
      <c r="VGC224" s="862"/>
      <c r="VGD224" s="862"/>
      <c r="VGE224" s="862"/>
      <c r="VGF224" s="863"/>
      <c r="VGG224" s="861"/>
      <c r="VGH224" s="862"/>
      <c r="VGI224" s="862"/>
      <c r="VGJ224" s="862"/>
      <c r="VGK224" s="862"/>
      <c r="VGL224" s="863"/>
      <c r="VGM224" s="861"/>
      <c r="VGN224" s="862"/>
      <c r="VGO224" s="862"/>
      <c r="VGP224" s="862"/>
      <c r="VGQ224" s="862"/>
      <c r="VGR224" s="863"/>
      <c r="VGS224" s="861"/>
      <c r="VGT224" s="862"/>
      <c r="VGU224" s="862"/>
      <c r="VGV224" s="862"/>
      <c r="VGW224" s="862"/>
      <c r="VGX224" s="863"/>
      <c r="VGY224" s="861"/>
      <c r="VGZ224" s="862"/>
      <c r="VHA224" s="862"/>
      <c r="VHB224" s="862"/>
      <c r="VHC224" s="862"/>
      <c r="VHD224" s="863"/>
      <c r="VHE224" s="861"/>
      <c r="VHF224" s="862"/>
      <c r="VHG224" s="862"/>
      <c r="VHH224" s="862"/>
      <c r="VHI224" s="862"/>
      <c r="VHJ224" s="863"/>
      <c r="VHK224" s="861"/>
      <c r="VHL224" s="862"/>
      <c r="VHM224" s="862"/>
      <c r="VHN224" s="862"/>
      <c r="VHO224" s="862"/>
      <c r="VHP224" s="863"/>
      <c r="VHQ224" s="861"/>
      <c r="VHR224" s="862"/>
      <c r="VHS224" s="862"/>
      <c r="VHT224" s="862"/>
      <c r="VHU224" s="862"/>
      <c r="VHV224" s="863"/>
      <c r="VHW224" s="861"/>
      <c r="VHX224" s="862"/>
      <c r="VHY224" s="862"/>
      <c r="VHZ224" s="862"/>
      <c r="VIA224" s="862"/>
      <c r="VIB224" s="863"/>
      <c r="VIC224" s="861"/>
      <c r="VID224" s="862"/>
      <c r="VIE224" s="862"/>
      <c r="VIF224" s="862"/>
      <c r="VIG224" s="862"/>
      <c r="VIH224" s="863"/>
      <c r="VII224" s="861"/>
      <c r="VIJ224" s="862"/>
      <c r="VIK224" s="862"/>
      <c r="VIL224" s="862"/>
      <c r="VIM224" s="862"/>
      <c r="VIN224" s="863"/>
      <c r="VIO224" s="861"/>
      <c r="VIP224" s="862"/>
      <c r="VIQ224" s="862"/>
      <c r="VIR224" s="862"/>
      <c r="VIS224" s="862"/>
      <c r="VIT224" s="863"/>
      <c r="VIU224" s="861"/>
      <c r="VIV224" s="862"/>
      <c r="VIW224" s="862"/>
      <c r="VIX224" s="862"/>
      <c r="VIY224" s="862"/>
      <c r="VIZ224" s="863"/>
      <c r="VJA224" s="861"/>
      <c r="VJB224" s="862"/>
      <c r="VJC224" s="862"/>
      <c r="VJD224" s="862"/>
      <c r="VJE224" s="862"/>
      <c r="VJF224" s="863"/>
      <c r="VJG224" s="861"/>
      <c r="VJH224" s="862"/>
      <c r="VJI224" s="862"/>
      <c r="VJJ224" s="862"/>
      <c r="VJK224" s="862"/>
      <c r="VJL224" s="863"/>
      <c r="VJM224" s="861"/>
      <c r="VJN224" s="862"/>
      <c r="VJO224" s="862"/>
      <c r="VJP224" s="862"/>
      <c r="VJQ224" s="862"/>
      <c r="VJR224" s="863"/>
      <c r="VJS224" s="861"/>
      <c r="VJT224" s="862"/>
      <c r="VJU224" s="862"/>
      <c r="VJV224" s="862"/>
      <c r="VJW224" s="862"/>
      <c r="VJX224" s="863"/>
      <c r="VJY224" s="861"/>
      <c r="VJZ224" s="862"/>
      <c r="VKA224" s="862"/>
      <c r="VKB224" s="862"/>
      <c r="VKC224" s="862"/>
      <c r="VKD224" s="863"/>
      <c r="VKE224" s="861"/>
      <c r="VKF224" s="862"/>
      <c r="VKG224" s="862"/>
      <c r="VKH224" s="862"/>
      <c r="VKI224" s="862"/>
      <c r="VKJ224" s="863"/>
      <c r="VKK224" s="861"/>
      <c r="VKL224" s="862"/>
      <c r="VKM224" s="862"/>
      <c r="VKN224" s="862"/>
      <c r="VKO224" s="862"/>
      <c r="VKP224" s="863"/>
      <c r="VKQ224" s="861"/>
      <c r="VKR224" s="862"/>
      <c r="VKS224" s="862"/>
      <c r="VKT224" s="862"/>
      <c r="VKU224" s="862"/>
      <c r="VKV224" s="863"/>
      <c r="VKW224" s="861"/>
      <c r="VKX224" s="862"/>
      <c r="VKY224" s="862"/>
      <c r="VKZ224" s="862"/>
      <c r="VLA224" s="862"/>
      <c r="VLB224" s="863"/>
      <c r="VLC224" s="861"/>
      <c r="VLD224" s="862"/>
      <c r="VLE224" s="862"/>
      <c r="VLF224" s="862"/>
      <c r="VLG224" s="862"/>
      <c r="VLH224" s="863"/>
      <c r="VLI224" s="861"/>
      <c r="VLJ224" s="862"/>
      <c r="VLK224" s="862"/>
      <c r="VLL224" s="862"/>
      <c r="VLM224" s="862"/>
      <c r="VLN224" s="863"/>
      <c r="VLO224" s="861"/>
      <c r="VLP224" s="862"/>
      <c r="VLQ224" s="862"/>
      <c r="VLR224" s="862"/>
      <c r="VLS224" s="862"/>
      <c r="VLT224" s="863"/>
      <c r="VLU224" s="861"/>
      <c r="VLV224" s="862"/>
      <c r="VLW224" s="862"/>
      <c r="VLX224" s="862"/>
      <c r="VLY224" s="862"/>
      <c r="VLZ224" s="863"/>
      <c r="VMA224" s="861"/>
      <c r="VMB224" s="862"/>
      <c r="VMC224" s="862"/>
      <c r="VMD224" s="862"/>
      <c r="VME224" s="862"/>
      <c r="VMF224" s="863"/>
      <c r="VMG224" s="861"/>
      <c r="VMH224" s="862"/>
      <c r="VMI224" s="862"/>
      <c r="VMJ224" s="862"/>
      <c r="VMK224" s="862"/>
      <c r="VML224" s="863"/>
      <c r="VMM224" s="861"/>
      <c r="VMN224" s="862"/>
      <c r="VMO224" s="862"/>
      <c r="VMP224" s="862"/>
      <c r="VMQ224" s="862"/>
      <c r="VMR224" s="863"/>
      <c r="VMS224" s="861"/>
      <c r="VMT224" s="862"/>
      <c r="VMU224" s="862"/>
      <c r="VMV224" s="862"/>
      <c r="VMW224" s="862"/>
      <c r="VMX224" s="863"/>
      <c r="VMY224" s="861"/>
      <c r="VMZ224" s="862"/>
      <c r="VNA224" s="862"/>
      <c r="VNB224" s="862"/>
      <c r="VNC224" s="862"/>
      <c r="VND224" s="863"/>
      <c r="VNE224" s="861"/>
      <c r="VNF224" s="862"/>
      <c r="VNG224" s="862"/>
      <c r="VNH224" s="862"/>
      <c r="VNI224" s="862"/>
      <c r="VNJ224" s="863"/>
      <c r="VNK224" s="861"/>
      <c r="VNL224" s="862"/>
      <c r="VNM224" s="862"/>
      <c r="VNN224" s="862"/>
      <c r="VNO224" s="862"/>
      <c r="VNP224" s="863"/>
      <c r="VNQ224" s="861"/>
      <c r="VNR224" s="862"/>
      <c r="VNS224" s="862"/>
      <c r="VNT224" s="862"/>
      <c r="VNU224" s="862"/>
      <c r="VNV224" s="863"/>
      <c r="VNW224" s="861"/>
      <c r="VNX224" s="862"/>
      <c r="VNY224" s="862"/>
      <c r="VNZ224" s="862"/>
      <c r="VOA224" s="862"/>
      <c r="VOB224" s="863"/>
      <c r="VOC224" s="861"/>
      <c r="VOD224" s="862"/>
      <c r="VOE224" s="862"/>
      <c r="VOF224" s="862"/>
      <c r="VOG224" s="862"/>
      <c r="VOH224" s="863"/>
      <c r="VOI224" s="861"/>
      <c r="VOJ224" s="862"/>
      <c r="VOK224" s="862"/>
      <c r="VOL224" s="862"/>
      <c r="VOM224" s="862"/>
      <c r="VON224" s="863"/>
      <c r="VOO224" s="861"/>
      <c r="VOP224" s="862"/>
      <c r="VOQ224" s="862"/>
      <c r="VOR224" s="862"/>
      <c r="VOS224" s="862"/>
      <c r="VOT224" s="863"/>
      <c r="VOU224" s="861"/>
      <c r="VOV224" s="862"/>
      <c r="VOW224" s="862"/>
      <c r="VOX224" s="862"/>
      <c r="VOY224" s="862"/>
      <c r="VOZ224" s="863"/>
      <c r="VPA224" s="861"/>
      <c r="VPB224" s="862"/>
      <c r="VPC224" s="862"/>
      <c r="VPD224" s="862"/>
      <c r="VPE224" s="862"/>
      <c r="VPF224" s="863"/>
      <c r="VPG224" s="861"/>
      <c r="VPH224" s="862"/>
      <c r="VPI224" s="862"/>
      <c r="VPJ224" s="862"/>
      <c r="VPK224" s="862"/>
      <c r="VPL224" s="863"/>
      <c r="VPM224" s="861"/>
      <c r="VPN224" s="862"/>
      <c r="VPO224" s="862"/>
      <c r="VPP224" s="862"/>
      <c r="VPQ224" s="862"/>
      <c r="VPR224" s="863"/>
      <c r="VPS224" s="861"/>
      <c r="VPT224" s="862"/>
      <c r="VPU224" s="862"/>
      <c r="VPV224" s="862"/>
      <c r="VPW224" s="862"/>
      <c r="VPX224" s="863"/>
      <c r="VPY224" s="861"/>
      <c r="VPZ224" s="862"/>
      <c r="VQA224" s="862"/>
      <c r="VQB224" s="862"/>
      <c r="VQC224" s="862"/>
      <c r="VQD224" s="863"/>
      <c r="VQE224" s="861"/>
      <c r="VQF224" s="862"/>
      <c r="VQG224" s="862"/>
      <c r="VQH224" s="862"/>
      <c r="VQI224" s="862"/>
      <c r="VQJ224" s="863"/>
      <c r="VQK224" s="861"/>
      <c r="VQL224" s="862"/>
      <c r="VQM224" s="862"/>
      <c r="VQN224" s="862"/>
      <c r="VQO224" s="862"/>
      <c r="VQP224" s="863"/>
      <c r="VQQ224" s="861"/>
      <c r="VQR224" s="862"/>
      <c r="VQS224" s="862"/>
      <c r="VQT224" s="862"/>
      <c r="VQU224" s="862"/>
      <c r="VQV224" s="863"/>
      <c r="VQW224" s="861"/>
      <c r="VQX224" s="862"/>
      <c r="VQY224" s="862"/>
      <c r="VQZ224" s="862"/>
      <c r="VRA224" s="862"/>
      <c r="VRB224" s="863"/>
      <c r="VRC224" s="861"/>
      <c r="VRD224" s="862"/>
      <c r="VRE224" s="862"/>
      <c r="VRF224" s="862"/>
      <c r="VRG224" s="862"/>
      <c r="VRH224" s="863"/>
      <c r="VRI224" s="861"/>
      <c r="VRJ224" s="862"/>
      <c r="VRK224" s="862"/>
      <c r="VRL224" s="862"/>
      <c r="VRM224" s="862"/>
      <c r="VRN224" s="863"/>
      <c r="VRO224" s="861"/>
      <c r="VRP224" s="862"/>
      <c r="VRQ224" s="862"/>
      <c r="VRR224" s="862"/>
      <c r="VRS224" s="862"/>
      <c r="VRT224" s="863"/>
      <c r="VRU224" s="861"/>
      <c r="VRV224" s="862"/>
      <c r="VRW224" s="862"/>
      <c r="VRX224" s="862"/>
      <c r="VRY224" s="862"/>
      <c r="VRZ224" s="863"/>
      <c r="VSA224" s="861"/>
      <c r="VSB224" s="862"/>
      <c r="VSC224" s="862"/>
      <c r="VSD224" s="862"/>
      <c r="VSE224" s="862"/>
      <c r="VSF224" s="863"/>
      <c r="VSG224" s="861"/>
      <c r="VSH224" s="862"/>
      <c r="VSI224" s="862"/>
      <c r="VSJ224" s="862"/>
      <c r="VSK224" s="862"/>
      <c r="VSL224" s="863"/>
      <c r="VSM224" s="861"/>
      <c r="VSN224" s="862"/>
      <c r="VSO224" s="862"/>
      <c r="VSP224" s="862"/>
      <c r="VSQ224" s="862"/>
      <c r="VSR224" s="863"/>
      <c r="VSS224" s="861"/>
      <c r="VST224" s="862"/>
      <c r="VSU224" s="862"/>
      <c r="VSV224" s="862"/>
      <c r="VSW224" s="862"/>
      <c r="VSX224" s="863"/>
      <c r="VSY224" s="861"/>
      <c r="VSZ224" s="862"/>
      <c r="VTA224" s="862"/>
      <c r="VTB224" s="862"/>
      <c r="VTC224" s="862"/>
      <c r="VTD224" s="863"/>
      <c r="VTE224" s="861"/>
      <c r="VTF224" s="862"/>
      <c r="VTG224" s="862"/>
      <c r="VTH224" s="862"/>
      <c r="VTI224" s="862"/>
      <c r="VTJ224" s="863"/>
      <c r="VTK224" s="861"/>
      <c r="VTL224" s="862"/>
      <c r="VTM224" s="862"/>
      <c r="VTN224" s="862"/>
      <c r="VTO224" s="862"/>
      <c r="VTP224" s="863"/>
      <c r="VTQ224" s="861"/>
      <c r="VTR224" s="862"/>
      <c r="VTS224" s="862"/>
      <c r="VTT224" s="862"/>
      <c r="VTU224" s="862"/>
      <c r="VTV224" s="863"/>
      <c r="VTW224" s="861"/>
      <c r="VTX224" s="862"/>
      <c r="VTY224" s="862"/>
      <c r="VTZ224" s="862"/>
      <c r="VUA224" s="862"/>
      <c r="VUB224" s="863"/>
      <c r="VUC224" s="861"/>
      <c r="VUD224" s="862"/>
      <c r="VUE224" s="862"/>
      <c r="VUF224" s="862"/>
      <c r="VUG224" s="862"/>
      <c r="VUH224" s="863"/>
      <c r="VUI224" s="861"/>
      <c r="VUJ224" s="862"/>
      <c r="VUK224" s="862"/>
      <c r="VUL224" s="862"/>
      <c r="VUM224" s="862"/>
      <c r="VUN224" s="863"/>
      <c r="VUO224" s="861"/>
      <c r="VUP224" s="862"/>
      <c r="VUQ224" s="862"/>
      <c r="VUR224" s="862"/>
      <c r="VUS224" s="862"/>
      <c r="VUT224" s="863"/>
      <c r="VUU224" s="861"/>
      <c r="VUV224" s="862"/>
      <c r="VUW224" s="862"/>
      <c r="VUX224" s="862"/>
      <c r="VUY224" s="862"/>
      <c r="VUZ224" s="863"/>
      <c r="VVA224" s="861"/>
      <c r="VVB224" s="862"/>
      <c r="VVC224" s="862"/>
      <c r="VVD224" s="862"/>
      <c r="VVE224" s="862"/>
      <c r="VVF224" s="863"/>
      <c r="VVG224" s="861"/>
      <c r="VVH224" s="862"/>
      <c r="VVI224" s="862"/>
      <c r="VVJ224" s="862"/>
      <c r="VVK224" s="862"/>
      <c r="VVL224" s="863"/>
      <c r="VVM224" s="861"/>
      <c r="VVN224" s="862"/>
      <c r="VVO224" s="862"/>
      <c r="VVP224" s="862"/>
      <c r="VVQ224" s="862"/>
      <c r="VVR224" s="863"/>
      <c r="VVS224" s="861"/>
      <c r="VVT224" s="862"/>
      <c r="VVU224" s="862"/>
      <c r="VVV224" s="862"/>
      <c r="VVW224" s="862"/>
      <c r="VVX224" s="863"/>
      <c r="VVY224" s="861"/>
      <c r="VVZ224" s="862"/>
      <c r="VWA224" s="862"/>
      <c r="VWB224" s="862"/>
      <c r="VWC224" s="862"/>
      <c r="VWD224" s="863"/>
      <c r="VWE224" s="861"/>
      <c r="VWF224" s="862"/>
      <c r="VWG224" s="862"/>
      <c r="VWH224" s="862"/>
      <c r="VWI224" s="862"/>
      <c r="VWJ224" s="863"/>
      <c r="VWK224" s="861"/>
      <c r="VWL224" s="862"/>
      <c r="VWM224" s="862"/>
      <c r="VWN224" s="862"/>
      <c r="VWO224" s="862"/>
      <c r="VWP224" s="863"/>
      <c r="VWQ224" s="861"/>
      <c r="VWR224" s="862"/>
      <c r="VWS224" s="862"/>
      <c r="VWT224" s="862"/>
      <c r="VWU224" s="862"/>
      <c r="VWV224" s="863"/>
      <c r="VWW224" s="861"/>
      <c r="VWX224" s="862"/>
      <c r="VWY224" s="862"/>
      <c r="VWZ224" s="862"/>
      <c r="VXA224" s="862"/>
      <c r="VXB224" s="863"/>
      <c r="VXC224" s="861"/>
      <c r="VXD224" s="862"/>
      <c r="VXE224" s="862"/>
      <c r="VXF224" s="862"/>
      <c r="VXG224" s="862"/>
      <c r="VXH224" s="863"/>
      <c r="VXI224" s="861"/>
      <c r="VXJ224" s="862"/>
      <c r="VXK224" s="862"/>
      <c r="VXL224" s="862"/>
      <c r="VXM224" s="862"/>
      <c r="VXN224" s="863"/>
      <c r="VXO224" s="861"/>
      <c r="VXP224" s="862"/>
      <c r="VXQ224" s="862"/>
      <c r="VXR224" s="862"/>
      <c r="VXS224" s="862"/>
      <c r="VXT224" s="863"/>
      <c r="VXU224" s="861"/>
      <c r="VXV224" s="862"/>
      <c r="VXW224" s="862"/>
      <c r="VXX224" s="862"/>
      <c r="VXY224" s="862"/>
      <c r="VXZ224" s="863"/>
      <c r="VYA224" s="861"/>
      <c r="VYB224" s="862"/>
      <c r="VYC224" s="862"/>
      <c r="VYD224" s="862"/>
      <c r="VYE224" s="862"/>
      <c r="VYF224" s="863"/>
      <c r="VYG224" s="861"/>
      <c r="VYH224" s="862"/>
      <c r="VYI224" s="862"/>
      <c r="VYJ224" s="862"/>
      <c r="VYK224" s="862"/>
      <c r="VYL224" s="863"/>
      <c r="VYM224" s="861"/>
      <c r="VYN224" s="862"/>
      <c r="VYO224" s="862"/>
      <c r="VYP224" s="862"/>
      <c r="VYQ224" s="862"/>
      <c r="VYR224" s="863"/>
      <c r="VYS224" s="861"/>
      <c r="VYT224" s="862"/>
      <c r="VYU224" s="862"/>
      <c r="VYV224" s="862"/>
      <c r="VYW224" s="862"/>
      <c r="VYX224" s="863"/>
      <c r="VYY224" s="861"/>
      <c r="VYZ224" s="862"/>
      <c r="VZA224" s="862"/>
      <c r="VZB224" s="862"/>
      <c r="VZC224" s="862"/>
      <c r="VZD224" s="863"/>
      <c r="VZE224" s="861"/>
      <c r="VZF224" s="862"/>
      <c r="VZG224" s="862"/>
      <c r="VZH224" s="862"/>
      <c r="VZI224" s="862"/>
      <c r="VZJ224" s="863"/>
      <c r="VZK224" s="861"/>
      <c r="VZL224" s="862"/>
      <c r="VZM224" s="862"/>
      <c r="VZN224" s="862"/>
      <c r="VZO224" s="862"/>
      <c r="VZP224" s="863"/>
      <c r="VZQ224" s="861"/>
      <c r="VZR224" s="862"/>
      <c r="VZS224" s="862"/>
      <c r="VZT224" s="862"/>
      <c r="VZU224" s="862"/>
      <c r="VZV224" s="863"/>
      <c r="VZW224" s="861"/>
      <c r="VZX224" s="862"/>
      <c r="VZY224" s="862"/>
      <c r="VZZ224" s="862"/>
      <c r="WAA224" s="862"/>
      <c r="WAB224" s="863"/>
      <c r="WAC224" s="861"/>
      <c r="WAD224" s="862"/>
      <c r="WAE224" s="862"/>
      <c r="WAF224" s="862"/>
      <c r="WAG224" s="862"/>
      <c r="WAH224" s="863"/>
      <c r="WAI224" s="861"/>
      <c r="WAJ224" s="862"/>
      <c r="WAK224" s="862"/>
      <c r="WAL224" s="862"/>
      <c r="WAM224" s="862"/>
      <c r="WAN224" s="863"/>
      <c r="WAO224" s="861"/>
      <c r="WAP224" s="862"/>
      <c r="WAQ224" s="862"/>
      <c r="WAR224" s="862"/>
      <c r="WAS224" s="862"/>
      <c r="WAT224" s="863"/>
      <c r="WAU224" s="861"/>
      <c r="WAV224" s="862"/>
      <c r="WAW224" s="862"/>
      <c r="WAX224" s="862"/>
      <c r="WAY224" s="862"/>
      <c r="WAZ224" s="863"/>
      <c r="WBA224" s="861"/>
      <c r="WBB224" s="862"/>
      <c r="WBC224" s="862"/>
      <c r="WBD224" s="862"/>
      <c r="WBE224" s="862"/>
      <c r="WBF224" s="863"/>
      <c r="WBG224" s="861"/>
      <c r="WBH224" s="862"/>
      <c r="WBI224" s="862"/>
      <c r="WBJ224" s="862"/>
      <c r="WBK224" s="862"/>
      <c r="WBL224" s="863"/>
      <c r="WBM224" s="861"/>
      <c r="WBN224" s="862"/>
      <c r="WBO224" s="862"/>
      <c r="WBP224" s="862"/>
      <c r="WBQ224" s="862"/>
      <c r="WBR224" s="863"/>
      <c r="WBS224" s="861"/>
      <c r="WBT224" s="862"/>
      <c r="WBU224" s="862"/>
      <c r="WBV224" s="862"/>
      <c r="WBW224" s="862"/>
      <c r="WBX224" s="863"/>
      <c r="WBY224" s="861"/>
      <c r="WBZ224" s="862"/>
      <c r="WCA224" s="862"/>
      <c r="WCB224" s="862"/>
      <c r="WCC224" s="862"/>
      <c r="WCD224" s="863"/>
      <c r="WCE224" s="861"/>
      <c r="WCF224" s="862"/>
      <c r="WCG224" s="862"/>
      <c r="WCH224" s="862"/>
      <c r="WCI224" s="862"/>
      <c r="WCJ224" s="863"/>
      <c r="WCK224" s="861"/>
      <c r="WCL224" s="862"/>
      <c r="WCM224" s="862"/>
      <c r="WCN224" s="862"/>
      <c r="WCO224" s="862"/>
      <c r="WCP224" s="863"/>
      <c r="WCQ224" s="861"/>
      <c r="WCR224" s="862"/>
      <c r="WCS224" s="862"/>
      <c r="WCT224" s="862"/>
      <c r="WCU224" s="862"/>
      <c r="WCV224" s="863"/>
      <c r="WCW224" s="861"/>
      <c r="WCX224" s="862"/>
      <c r="WCY224" s="862"/>
      <c r="WCZ224" s="862"/>
      <c r="WDA224" s="862"/>
      <c r="WDB224" s="863"/>
      <c r="WDC224" s="861"/>
      <c r="WDD224" s="862"/>
      <c r="WDE224" s="862"/>
      <c r="WDF224" s="862"/>
      <c r="WDG224" s="862"/>
      <c r="WDH224" s="863"/>
      <c r="WDI224" s="861"/>
      <c r="WDJ224" s="862"/>
      <c r="WDK224" s="862"/>
      <c r="WDL224" s="862"/>
      <c r="WDM224" s="862"/>
      <c r="WDN224" s="863"/>
      <c r="WDO224" s="861"/>
      <c r="WDP224" s="862"/>
      <c r="WDQ224" s="862"/>
      <c r="WDR224" s="862"/>
      <c r="WDS224" s="862"/>
      <c r="WDT224" s="863"/>
      <c r="WDU224" s="861"/>
      <c r="WDV224" s="862"/>
      <c r="WDW224" s="862"/>
      <c r="WDX224" s="862"/>
      <c r="WDY224" s="862"/>
      <c r="WDZ224" s="863"/>
      <c r="WEA224" s="861"/>
      <c r="WEB224" s="862"/>
      <c r="WEC224" s="862"/>
      <c r="WED224" s="862"/>
      <c r="WEE224" s="862"/>
      <c r="WEF224" s="863"/>
      <c r="WEG224" s="861"/>
      <c r="WEH224" s="862"/>
      <c r="WEI224" s="862"/>
      <c r="WEJ224" s="862"/>
      <c r="WEK224" s="862"/>
      <c r="WEL224" s="863"/>
      <c r="WEM224" s="861"/>
      <c r="WEN224" s="862"/>
      <c r="WEO224" s="862"/>
      <c r="WEP224" s="862"/>
      <c r="WEQ224" s="862"/>
      <c r="WER224" s="863"/>
      <c r="WES224" s="861"/>
      <c r="WET224" s="862"/>
      <c r="WEU224" s="862"/>
      <c r="WEV224" s="862"/>
      <c r="WEW224" s="862"/>
      <c r="WEX224" s="863"/>
      <c r="WEY224" s="861"/>
      <c r="WEZ224" s="862"/>
      <c r="WFA224" s="862"/>
      <c r="WFB224" s="862"/>
      <c r="WFC224" s="862"/>
      <c r="WFD224" s="863"/>
      <c r="WFE224" s="861"/>
      <c r="WFF224" s="862"/>
      <c r="WFG224" s="862"/>
      <c r="WFH224" s="862"/>
      <c r="WFI224" s="862"/>
      <c r="WFJ224" s="863"/>
      <c r="WFK224" s="861"/>
      <c r="WFL224" s="862"/>
      <c r="WFM224" s="862"/>
      <c r="WFN224" s="862"/>
      <c r="WFO224" s="862"/>
      <c r="WFP224" s="863"/>
      <c r="WFQ224" s="861"/>
      <c r="WFR224" s="862"/>
      <c r="WFS224" s="862"/>
      <c r="WFT224" s="862"/>
      <c r="WFU224" s="862"/>
      <c r="WFV224" s="863"/>
      <c r="WFW224" s="861"/>
      <c r="WFX224" s="862"/>
      <c r="WFY224" s="862"/>
      <c r="WFZ224" s="862"/>
      <c r="WGA224" s="862"/>
      <c r="WGB224" s="863"/>
      <c r="WGC224" s="861"/>
      <c r="WGD224" s="862"/>
      <c r="WGE224" s="862"/>
      <c r="WGF224" s="862"/>
      <c r="WGG224" s="862"/>
      <c r="WGH224" s="863"/>
      <c r="WGI224" s="861"/>
      <c r="WGJ224" s="862"/>
      <c r="WGK224" s="862"/>
      <c r="WGL224" s="862"/>
      <c r="WGM224" s="862"/>
      <c r="WGN224" s="863"/>
      <c r="WGO224" s="861"/>
      <c r="WGP224" s="862"/>
      <c r="WGQ224" s="862"/>
      <c r="WGR224" s="862"/>
      <c r="WGS224" s="862"/>
      <c r="WGT224" s="863"/>
      <c r="WGU224" s="861"/>
      <c r="WGV224" s="862"/>
      <c r="WGW224" s="862"/>
      <c r="WGX224" s="862"/>
      <c r="WGY224" s="862"/>
      <c r="WGZ224" s="863"/>
      <c r="WHA224" s="861"/>
      <c r="WHB224" s="862"/>
      <c r="WHC224" s="862"/>
      <c r="WHD224" s="862"/>
      <c r="WHE224" s="862"/>
      <c r="WHF224" s="863"/>
      <c r="WHG224" s="861"/>
      <c r="WHH224" s="862"/>
      <c r="WHI224" s="862"/>
      <c r="WHJ224" s="862"/>
      <c r="WHK224" s="862"/>
      <c r="WHL224" s="863"/>
      <c r="WHM224" s="861"/>
      <c r="WHN224" s="862"/>
      <c r="WHO224" s="862"/>
      <c r="WHP224" s="862"/>
      <c r="WHQ224" s="862"/>
      <c r="WHR224" s="863"/>
      <c r="WHS224" s="861"/>
      <c r="WHT224" s="862"/>
      <c r="WHU224" s="862"/>
      <c r="WHV224" s="862"/>
      <c r="WHW224" s="862"/>
      <c r="WHX224" s="863"/>
      <c r="WHY224" s="861"/>
      <c r="WHZ224" s="862"/>
      <c r="WIA224" s="862"/>
      <c r="WIB224" s="862"/>
      <c r="WIC224" s="862"/>
      <c r="WID224" s="863"/>
      <c r="WIE224" s="861"/>
      <c r="WIF224" s="862"/>
      <c r="WIG224" s="862"/>
      <c r="WIH224" s="862"/>
      <c r="WII224" s="862"/>
      <c r="WIJ224" s="863"/>
      <c r="WIK224" s="861"/>
      <c r="WIL224" s="862"/>
      <c r="WIM224" s="862"/>
      <c r="WIN224" s="862"/>
      <c r="WIO224" s="862"/>
      <c r="WIP224" s="863"/>
      <c r="WIQ224" s="861"/>
      <c r="WIR224" s="862"/>
      <c r="WIS224" s="862"/>
      <c r="WIT224" s="862"/>
      <c r="WIU224" s="862"/>
      <c r="WIV224" s="863"/>
      <c r="WIW224" s="861"/>
      <c r="WIX224" s="862"/>
      <c r="WIY224" s="862"/>
      <c r="WIZ224" s="862"/>
      <c r="WJA224" s="862"/>
      <c r="WJB224" s="863"/>
      <c r="WJC224" s="861"/>
      <c r="WJD224" s="862"/>
      <c r="WJE224" s="862"/>
      <c r="WJF224" s="862"/>
      <c r="WJG224" s="862"/>
      <c r="WJH224" s="863"/>
      <c r="WJI224" s="861"/>
      <c r="WJJ224" s="862"/>
      <c r="WJK224" s="862"/>
      <c r="WJL224" s="862"/>
      <c r="WJM224" s="862"/>
      <c r="WJN224" s="863"/>
      <c r="WJO224" s="861"/>
      <c r="WJP224" s="862"/>
      <c r="WJQ224" s="862"/>
      <c r="WJR224" s="862"/>
      <c r="WJS224" s="862"/>
      <c r="WJT224" s="863"/>
      <c r="WJU224" s="861"/>
      <c r="WJV224" s="862"/>
      <c r="WJW224" s="862"/>
      <c r="WJX224" s="862"/>
      <c r="WJY224" s="862"/>
      <c r="WJZ224" s="863"/>
      <c r="WKA224" s="861"/>
      <c r="WKB224" s="862"/>
      <c r="WKC224" s="862"/>
      <c r="WKD224" s="862"/>
      <c r="WKE224" s="862"/>
      <c r="WKF224" s="863"/>
      <c r="WKG224" s="861"/>
      <c r="WKH224" s="862"/>
      <c r="WKI224" s="862"/>
      <c r="WKJ224" s="862"/>
      <c r="WKK224" s="862"/>
      <c r="WKL224" s="863"/>
      <c r="WKM224" s="861"/>
      <c r="WKN224" s="862"/>
      <c r="WKO224" s="862"/>
      <c r="WKP224" s="862"/>
      <c r="WKQ224" s="862"/>
      <c r="WKR224" s="863"/>
      <c r="WKS224" s="861"/>
      <c r="WKT224" s="862"/>
      <c r="WKU224" s="862"/>
      <c r="WKV224" s="862"/>
      <c r="WKW224" s="862"/>
      <c r="WKX224" s="863"/>
      <c r="WKY224" s="861"/>
      <c r="WKZ224" s="862"/>
      <c r="WLA224" s="862"/>
      <c r="WLB224" s="862"/>
      <c r="WLC224" s="862"/>
      <c r="WLD224" s="863"/>
      <c r="WLE224" s="861"/>
      <c r="WLF224" s="862"/>
      <c r="WLG224" s="862"/>
      <c r="WLH224" s="862"/>
      <c r="WLI224" s="862"/>
      <c r="WLJ224" s="863"/>
      <c r="WLK224" s="861"/>
      <c r="WLL224" s="862"/>
      <c r="WLM224" s="862"/>
      <c r="WLN224" s="862"/>
      <c r="WLO224" s="862"/>
      <c r="WLP224" s="863"/>
      <c r="WLQ224" s="861"/>
      <c r="WLR224" s="862"/>
      <c r="WLS224" s="862"/>
      <c r="WLT224" s="862"/>
      <c r="WLU224" s="862"/>
      <c r="WLV224" s="863"/>
      <c r="WLW224" s="861"/>
      <c r="WLX224" s="862"/>
      <c r="WLY224" s="862"/>
      <c r="WLZ224" s="862"/>
      <c r="WMA224" s="862"/>
      <c r="WMB224" s="863"/>
      <c r="WMC224" s="861"/>
      <c r="WMD224" s="862"/>
      <c r="WME224" s="862"/>
      <c r="WMF224" s="862"/>
      <c r="WMG224" s="862"/>
      <c r="WMH224" s="863"/>
      <c r="WMI224" s="861"/>
      <c r="WMJ224" s="862"/>
      <c r="WMK224" s="862"/>
      <c r="WML224" s="862"/>
      <c r="WMM224" s="862"/>
      <c r="WMN224" s="863"/>
      <c r="WMO224" s="861"/>
      <c r="WMP224" s="862"/>
      <c r="WMQ224" s="862"/>
      <c r="WMR224" s="862"/>
      <c r="WMS224" s="862"/>
      <c r="WMT224" s="863"/>
      <c r="WMU224" s="861"/>
      <c r="WMV224" s="862"/>
      <c r="WMW224" s="862"/>
      <c r="WMX224" s="862"/>
      <c r="WMY224" s="862"/>
      <c r="WMZ224" s="863"/>
      <c r="WNA224" s="861"/>
      <c r="WNB224" s="862"/>
      <c r="WNC224" s="862"/>
      <c r="WND224" s="862"/>
      <c r="WNE224" s="862"/>
      <c r="WNF224" s="863"/>
      <c r="WNG224" s="861"/>
      <c r="WNH224" s="862"/>
      <c r="WNI224" s="862"/>
      <c r="WNJ224" s="862"/>
      <c r="WNK224" s="862"/>
      <c r="WNL224" s="863"/>
      <c r="WNM224" s="861"/>
      <c r="WNN224" s="862"/>
      <c r="WNO224" s="862"/>
      <c r="WNP224" s="862"/>
      <c r="WNQ224" s="862"/>
      <c r="WNR224" s="863"/>
      <c r="WNS224" s="861"/>
      <c r="WNT224" s="862"/>
      <c r="WNU224" s="862"/>
      <c r="WNV224" s="862"/>
      <c r="WNW224" s="862"/>
      <c r="WNX224" s="863"/>
      <c r="WNY224" s="861"/>
      <c r="WNZ224" s="862"/>
      <c r="WOA224" s="862"/>
      <c r="WOB224" s="862"/>
      <c r="WOC224" s="862"/>
      <c r="WOD224" s="863"/>
      <c r="WOE224" s="861"/>
      <c r="WOF224" s="862"/>
      <c r="WOG224" s="862"/>
      <c r="WOH224" s="862"/>
      <c r="WOI224" s="862"/>
      <c r="WOJ224" s="863"/>
      <c r="WOK224" s="861"/>
      <c r="WOL224" s="862"/>
      <c r="WOM224" s="862"/>
      <c r="WON224" s="862"/>
      <c r="WOO224" s="862"/>
      <c r="WOP224" s="863"/>
      <c r="WOQ224" s="861"/>
      <c r="WOR224" s="862"/>
      <c r="WOS224" s="862"/>
      <c r="WOT224" s="862"/>
      <c r="WOU224" s="862"/>
      <c r="WOV224" s="863"/>
      <c r="WOW224" s="861"/>
      <c r="WOX224" s="862"/>
      <c r="WOY224" s="862"/>
      <c r="WOZ224" s="862"/>
      <c r="WPA224" s="862"/>
      <c r="WPB224" s="863"/>
      <c r="WPC224" s="861"/>
      <c r="WPD224" s="862"/>
      <c r="WPE224" s="862"/>
      <c r="WPF224" s="862"/>
      <c r="WPG224" s="862"/>
      <c r="WPH224" s="863"/>
      <c r="WPI224" s="861"/>
      <c r="WPJ224" s="862"/>
      <c r="WPK224" s="862"/>
      <c r="WPL224" s="862"/>
      <c r="WPM224" s="862"/>
      <c r="WPN224" s="863"/>
      <c r="WPO224" s="861"/>
      <c r="WPP224" s="862"/>
      <c r="WPQ224" s="862"/>
      <c r="WPR224" s="862"/>
      <c r="WPS224" s="862"/>
      <c r="WPT224" s="863"/>
      <c r="WPU224" s="861"/>
      <c r="WPV224" s="862"/>
      <c r="WPW224" s="862"/>
      <c r="WPX224" s="862"/>
      <c r="WPY224" s="862"/>
      <c r="WPZ224" s="863"/>
      <c r="WQA224" s="861"/>
      <c r="WQB224" s="862"/>
      <c r="WQC224" s="862"/>
      <c r="WQD224" s="862"/>
      <c r="WQE224" s="862"/>
      <c r="WQF224" s="863"/>
      <c r="WQG224" s="861"/>
      <c r="WQH224" s="862"/>
      <c r="WQI224" s="862"/>
      <c r="WQJ224" s="862"/>
      <c r="WQK224" s="862"/>
      <c r="WQL224" s="863"/>
      <c r="WQM224" s="861"/>
      <c r="WQN224" s="862"/>
      <c r="WQO224" s="862"/>
      <c r="WQP224" s="862"/>
      <c r="WQQ224" s="862"/>
      <c r="WQR224" s="863"/>
      <c r="WQS224" s="861"/>
      <c r="WQT224" s="862"/>
      <c r="WQU224" s="862"/>
      <c r="WQV224" s="862"/>
      <c r="WQW224" s="862"/>
      <c r="WQX224" s="863"/>
      <c r="WQY224" s="861"/>
      <c r="WQZ224" s="862"/>
      <c r="WRA224" s="862"/>
      <c r="WRB224" s="862"/>
      <c r="WRC224" s="862"/>
      <c r="WRD224" s="863"/>
      <c r="WRE224" s="861"/>
      <c r="WRF224" s="862"/>
      <c r="WRG224" s="862"/>
      <c r="WRH224" s="862"/>
      <c r="WRI224" s="862"/>
      <c r="WRJ224" s="863"/>
      <c r="WRK224" s="861"/>
      <c r="WRL224" s="862"/>
      <c r="WRM224" s="862"/>
      <c r="WRN224" s="862"/>
      <c r="WRO224" s="862"/>
      <c r="WRP224" s="863"/>
      <c r="WRQ224" s="861"/>
      <c r="WRR224" s="862"/>
      <c r="WRS224" s="862"/>
      <c r="WRT224" s="862"/>
      <c r="WRU224" s="862"/>
      <c r="WRV224" s="863"/>
      <c r="WRW224" s="861"/>
      <c r="WRX224" s="862"/>
      <c r="WRY224" s="862"/>
      <c r="WRZ224" s="862"/>
      <c r="WSA224" s="862"/>
      <c r="WSB224" s="863"/>
      <c r="WSC224" s="861"/>
      <c r="WSD224" s="862"/>
      <c r="WSE224" s="862"/>
      <c r="WSF224" s="862"/>
      <c r="WSG224" s="862"/>
      <c r="WSH224" s="863"/>
      <c r="WSI224" s="861"/>
      <c r="WSJ224" s="862"/>
      <c r="WSK224" s="862"/>
      <c r="WSL224" s="862"/>
      <c r="WSM224" s="862"/>
      <c r="WSN224" s="863"/>
      <c r="WSO224" s="861"/>
      <c r="WSP224" s="862"/>
      <c r="WSQ224" s="862"/>
      <c r="WSR224" s="862"/>
      <c r="WSS224" s="862"/>
      <c r="WST224" s="863"/>
      <c r="WSU224" s="861"/>
      <c r="WSV224" s="862"/>
      <c r="WSW224" s="862"/>
      <c r="WSX224" s="862"/>
      <c r="WSY224" s="862"/>
      <c r="WSZ224" s="863"/>
      <c r="WTA224" s="861"/>
      <c r="WTB224" s="862"/>
      <c r="WTC224" s="862"/>
      <c r="WTD224" s="862"/>
      <c r="WTE224" s="862"/>
      <c r="WTF224" s="863"/>
      <c r="WTG224" s="861"/>
      <c r="WTH224" s="862"/>
      <c r="WTI224" s="862"/>
      <c r="WTJ224" s="862"/>
      <c r="WTK224" s="862"/>
      <c r="WTL224" s="863"/>
      <c r="WTM224" s="861"/>
      <c r="WTN224" s="862"/>
      <c r="WTO224" s="862"/>
      <c r="WTP224" s="862"/>
      <c r="WTQ224" s="862"/>
      <c r="WTR224" s="863"/>
      <c r="WTS224" s="861"/>
      <c r="WTT224" s="862"/>
      <c r="WTU224" s="862"/>
      <c r="WTV224" s="862"/>
      <c r="WTW224" s="862"/>
      <c r="WTX224" s="863"/>
      <c r="WTY224" s="861"/>
      <c r="WTZ224" s="862"/>
      <c r="WUA224" s="862"/>
      <c r="WUB224" s="862"/>
      <c r="WUC224" s="862"/>
      <c r="WUD224" s="863"/>
      <c r="WUE224" s="861"/>
      <c r="WUF224" s="862"/>
      <c r="WUG224" s="862"/>
      <c r="WUH224" s="862"/>
      <c r="WUI224" s="862"/>
      <c r="WUJ224" s="863"/>
      <c r="WUK224" s="861"/>
      <c r="WUL224" s="862"/>
      <c r="WUM224" s="862"/>
      <c r="WUN224" s="862"/>
      <c r="WUO224" s="862"/>
      <c r="WUP224" s="863"/>
      <c r="WUQ224" s="861"/>
      <c r="WUR224" s="862"/>
      <c r="WUS224" s="862"/>
      <c r="WUT224" s="862"/>
      <c r="WUU224" s="862"/>
      <c r="WUV224" s="863"/>
      <c r="WUW224" s="861"/>
      <c r="WUX224" s="862"/>
      <c r="WUY224" s="862"/>
      <c r="WUZ224" s="862"/>
      <c r="WVA224" s="862"/>
      <c r="WVB224" s="863"/>
      <c r="WVC224" s="861"/>
      <c r="WVD224" s="862"/>
      <c r="WVE224" s="862"/>
      <c r="WVF224" s="862"/>
      <c r="WVG224" s="862"/>
      <c r="WVH224" s="863"/>
      <c r="WVI224" s="861"/>
      <c r="WVJ224" s="862"/>
      <c r="WVK224" s="862"/>
      <c r="WVL224" s="862"/>
      <c r="WVM224" s="862"/>
      <c r="WVN224" s="863"/>
      <c r="WVO224" s="861"/>
      <c r="WVP224" s="862"/>
      <c r="WVQ224" s="862"/>
      <c r="WVR224" s="862"/>
      <c r="WVS224" s="862"/>
      <c r="WVT224" s="863"/>
      <c r="WVU224" s="861"/>
      <c r="WVV224" s="862"/>
      <c r="WVW224" s="862"/>
      <c r="WVX224" s="862"/>
      <c r="WVY224" s="862"/>
      <c r="WVZ224" s="863"/>
      <c r="WWA224" s="861"/>
      <c r="WWB224" s="862"/>
      <c r="WWC224" s="862"/>
      <c r="WWD224" s="862"/>
      <c r="WWE224" s="862"/>
      <c r="WWF224" s="863"/>
      <c r="WWG224" s="861"/>
      <c r="WWH224" s="862"/>
      <c r="WWI224" s="862"/>
      <c r="WWJ224" s="862"/>
      <c r="WWK224" s="862"/>
      <c r="WWL224" s="863"/>
      <c r="WWM224" s="861"/>
      <c r="WWN224" s="862"/>
      <c r="WWO224" s="862"/>
      <c r="WWP224" s="862"/>
      <c r="WWQ224" s="862"/>
      <c r="WWR224" s="863"/>
      <c r="WWS224" s="861"/>
      <c r="WWT224" s="862"/>
      <c r="WWU224" s="862"/>
      <c r="WWV224" s="862"/>
      <c r="WWW224" s="862"/>
      <c r="WWX224" s="863"/>
      <c r="WWY224" s="861"/>
      <c r="WWZ224" s="862"/>
      <c r="WXA224" s="862"/>
      <c r="WXB224" s="862"/>
      <c r="WXC224" s="862"/>
      <c r="WXD224" s="863"/>
      <c r="WXE224" s="861"/>
      <c r="WXF224" s="862"/>
      <c r="WXG224" s="862"/>
      <c r="WXH224" s="862"/>
      <c r="WXI224" s="862"/>
      <c r="WXJ224" s="863"/>
      <c r="WXK224" s="861"/>
      <c r="WXL224" s="862"/>
      <c r="WXM224" s="862"/>
      <c r="WXN224" s="862"/>
      <c r="WXO224" s="862"/>
      <c r="WXP224" s="863"/>
      <c r="WXQ224" s="861"/>
      <c r="WXR224" s="862"/>
      <c r="WXS224" s="862"/>
      <c r="WXT224" s="862"/>
      <c r="WXU224" s="862"/>
      <c r="WXV224" s="863"/>
      <c r="WXW224" s="861"/>
      <c r="WXX224" s="862"/>
      <c r="WXY224" s="862"/>
      <c r="WXZ224" s="862"/>
      <c r="WYA224" s="862"/>
      <c r="WYB224" s="863"/>
      <c r="WYC224" s="861"/>
      <c r="WYD224" s="862"/>
      <c r="WYE224" s="862"/>
      <c r="WYF224" s="862"/>
      <c r="WYG224" s="862"/>
      <c r="WYH224" s="863"/>
      <c r="WYI224" s="861"/>
      <c r="WYJ224" s="862"/>
      <c r="WYK224" s="862"/>
      <c r="WYL224" s="862"/>
      <c r="WYM224" s="862"/>
      <c r="WYN224" s="863"/>
      <c r="WYO224" s="861"/>
      <c r="WYP224" s="862"/>
      <c r="WYQ224" s="862"/>
      <c r="WYR224" s="862"/>
      <c r="WYS224" s="862"/>
      <c r="WYT224" s="863"/>
      <c r="WYU224" s="861"/>
      <c r="WYV224" s="862"/>
      <c r="WYW224" s="862"/>
      <c r="WYX224" s="862"/>
      <c r="WYY224" s="862"/>
      <c r="WYZ224" s="863"/>
      <c r="WZA224" s="861"/>
      <c r="WZB224" s="862"/>
      <c r="WZC224" s="862"/>
      <c r="WZD224" s="862"/>
      <c r="WZE224" s="862"/>
      <c r="WZF224" s="863"/>
      <c r="WZG224" s="861"/>
      <c r="WZH224" s="862"/>
      <c r="WZI224" s="862"/>
      <c r="WZJ224" s="862"/>
      <c r="WZK224" s="862"/>
      <c r="WZL224" s="863"/>
      <c r="WZM224" s="861"/>
      <c r="WZN224" s="862"/>
      <c r="WZO224" s="862"/>
      <c r="WZP224" s="862"/>
      <c r="WZQ224" s="862"/>
      <c r="WZR224" s="863"/>
      <c r="WZS224" s="861"/>
      <c r="WZT224" s="862"/>
      <c r="WZU224" s="862"/>
      <c r="WZV224" s="862"/>
      <c r="WZW224" s="862"/>
      <c r="WZX224" s="863"/>
      <c r="WZY224" s="861"/>
      <c r="WZZ224" s="862"/>
      <c r="XAA224" s="862"/>
      <c r="XAB224" s="862"/>
      <c r="XAC224" s="862"/>
      <c r="XAD224" s="863"/>
      <c r="XAE224" s="861"/>
      <c r="XAF224" s="862"/>
      <c r="XAG224" s="862"/>
      <c r="XAH224" s="862"/>
      <c r="XAI224" s="862"/>
      <c r="XAJ224" s="863"/>
      <c r="XAK224" s="861"/>
      <c r="XAL224" s="862"/>
      <c r="XAM224" s="862"/>
      <c r="XAN224" s="862"/>
      <c r="XAO224" s="862"/>
      <c r="XAP224" s="863"/>
      <c r="XAQ224" s="861"/>
      <c r="XAR224" s="862"/>
      <c r="XAS224" s="862"/>
      <c r="XAT224" s="862"/>
      <c r="XAU224" s="862"/>
      <c r="XAV224" s="863"/>
      <c r="XAW224" s="861"/>
      <c r="XAX224" s="862"/>
      <c r="XAY224" s="862"/>
      <c r="XAZ224" s="862"/>
      <c r="XBA224" s="862"/>
      <c r="XBB224" s="863"/>
      <c r="XBC224" s="861"/>
      <c r="XBD224" s="862"/>
      <c r="XBE224" s="862"/>
      <c r="XBF224" s="862"/>
      <c r="XBG224" s="862"/>
      <c r="XBH224" s="863"/>
      <c r="XBI224" s="861"/>
      <c r="XBJ224" s="862"/>
      <c r="XBK224" s="862"/>
      <c r="XBL224" s="862"/>
      <c r="XBM224" s="862"/>
      <c r="XBN224" s="863"/>
      <c r="XBO224" s="861"/>
      <c r="XBP224" s="862"/>
      <c r="XBQ224" s="862"/>
      <c r="XBR224" s="862"/>
      <c r="XBS224" s="862"/>
      <c r="XBT224" s="863"/>
      <c r="XBU224" s="861"/>
      <c r="XBV224" s="862"/>
      <c r="XBW224" s="862"/>
      <c r="XBX224" s="862"/>
      <c r="XBY224" s="862"/>
      <c r="XBZ224" s="863"/>
      <c r="XCA224" s="861"/>
      <c r="XCB224" s="862"/>
      <c r="XCC224" s="862"/>
      <c r="XCD224" s="862"/>
      <c r="XCE224" s="862"/>
      <c r="XCF224" s="863"/>
      <c r="XCG224" s="861"/>
      <c r="XCH224" s="862"/>
      <c r="XCI224" s="862"/>
      <c r="XCJ224" s="862"/>
      <c r="XCK224" s="862"/>
      <c r="XCL224" s="863"/>
      <c r="XCM224" s="861"/>
      <c r="XCN224" s="862"/>
      <c r="XCO224" s="862"/>
      <c r="XCP224" s="862"/>
      <c r="XCQ224" s="862"/>
      <c r="XCR224" s="863"/>
      <c r="XCS224" s="861"/>
      <c r="XCT224" s="862"/>
      <c r="XCU224" s="862"/>
      <c r="XCV224" s="862"/>
      <c r="XCW224" s="862"/>
      <c r="XCX224" s="863"/>
      <c r="XCY224" s="861"/>
      <c r="XCZ224" s="862"/>
      <c r="XDA224" s="862"/>
      <c r="XDB224" s="862"/>
      <c r="XDC224" s="862"/>
      <c r="XDD224" s="863"/>
      <c r="XDE224" s="861"/>
      <c r="XDF224" s="862"/>
      <c r="XDG224" s="862"/>
      <c r="XDH224" s="862"/>
      <c r="XDI224" s="862"/>
      <c r="XDJ224" s="863"/>
      <c r="XDK224" s="861"/>
      <c r="XDL224" s="862"/>
      <c r="XDM224" s="862"/>
      <c r="XDN224" s="862"/>
      <c r="XDO224" s="862"/>
      <c r="XDP224" s="863"/>
      <c r="XDQ224" s="861"/>
      <c r="XDR224" s="862"/>
      <c r="XDS224" s="862"/>
      <c r="XDT224" s="862"/>
      <c r="XDU224" s="862"/>
      <c r="XDV224" s="863"/>
      <c r="XDW224" s="861"/>
      <c r="XDX224" s="862"/>
      <c r="XDY224" s="862"/>
      <c r="XDZ224" s="862"/>
      <c r="XEA224" s="862"/>
      <c r="XEB224" s="863"/>
      <c r="XEC224" s="861"/>
      <c r="XED224" s="862"/>
      <c r="XEE224" s="862"/>
      <c r="XEF224" s="862"/>
      <c r="XEG224" s="862"/>
      <c r="XEH224" s="863"/>
      <c r="XEI224" s="861"/>
      <c r="XEJ224" s="862"/>
      <c r="XEK224" s="862"/>
      <c r="XEL224" s="862"/>
      <c r="XEM224" s="862"/>
      <c r="XEN224" s="863"/>
      <c r="XEO224" s="861"/>
      <c r="XEP224" s="862"/>
      <c r="XEQ224" s="862"/>
      <c r="XER224" s="862"/>
      <c r="XES224" s="862"/>
      <c r="XET224" s="863"/>
      <c r="XEU224" s="861"/>
      <c r="XEV224" s="862"/>
      <c r="XEW224" s="862"/>
      <c r="XEX224" s="862"/>
      <c r="XEY224" s="862"/>
      <c r="XEZ224" s="863"/>
      <c r="XFA224" s="861"/>
      <c r="XFB224" s="861"/>
      <c r="XFC224" s="861"/>
      <c r="XFD224" s="861"/>
    </row>
    <row r="225" spans="2:70" ht="18" x14ac:dyDescent="0.15">
      <c r="B225" s="805" t="s">
        <v>181</v>
      </c>
      <c r="C225" s="806"/>
      <c r="D225" s="806"/>
      <c r="E225" s="806"/>
      <c r="F225" s="806"/>
      <c r="G225" s="807"/>
    </row>
    <row r="226" spans="2:70" s="7" customFormat="1" ht="21.75" customHeight="1" x14ac:dyDescent="0.15">
      <c r="B226" s="828" t="s">
        <v>214</v>
      </c>
      <c r="C226" s="829"/>
      <c r="D226" s="829"/>
      <c r="E226" s="829"/>
      <c r="F226" s="829"/>
      <c r="G226" s="830"/>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row>
    <row r="227" spans="2:70" ht="18" customHeight="1" x14ac:dyDescent="0.15">
      <c r="B227" s="802" t="s">
        <v>443</v>
      </c>
      <c r="C227" s="792"/>
      <c r="D227" s="227"/>
      <c r="E227" s="792" t="s">
        <v>182</v>
      </c>
      <c r="F227" s="792"/>
      <c r="G227" s="793"/>
    </row>
    <row r="228" spans="2:70" s="2" customFormat="1" ht="18" x14ac:dyDescent="0.15">
      <c r="B228" s="789"/>
      <c r="C228" s="790"/>
      <c r="D228" s="791"/>
      <c r="E228" s="788"/>
      <c r="F228" s="788"/>
      <c r="G228" s="78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row>
    <row r="229" spans="2:70" s="2" customFormat="1" ht="18" x14ac:dyDescent="0.15">
      <c r="B229" s="789"/>
      <c r="C229" s="790"/>
      <c r="D229" s="791"/>
      <c r="E229" s="788"/>
      <c r="F229" s="788"/>
      <c r="G229" s="788"/>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row>
    <row r="230" spans="2:70" s="2" customFormat="1" ht="18" x14ac:dyDescent="0.15">
      <c r="B230" s="789"/>
      <c r="C230" s="790"/>
      <c r="D230" s="791"/>
      <c r="E230" s="788"/>
      <c r="F230" s="788"/>
      <c r="G230" s="788"/>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row>
    <row r="231" spans="2:70" s="2" customFormat="1" ht="18" x14ac:dyDescent="0.15">
      <c r="B231" s="789"/>
      <c r="C231" s="790"/>
      <c r="D231" s="791"/>
      <c r="E231" s="788"/>
      <c r="F231" s="788"/>
      <c r="G231" s="788"/>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row>
    <row r="232" spans="2:70" s="2" customFormat="1" ht="18" x14ac:dyDescent="0.15">
      <c r="B232" s="789"/>
      <c r="C232" s="790"/>
      <c r="D232" s="791"/>
      <c r="E232" s="788"/>
      <c r="F232" s="788"/>
      <c r="G232" s="788"/>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row>
    <row r="233" spans="2:70" s="2" customFormat="1" ht="18" x14ac:dyDescent="0.15">
      <c r="B233" s="789"/>
      <c r="C233" s="790"/>
      <c r="D233" s="791"/>
      <c r="E233" s="788"/>
      <c r="F233" s="788"/>
      <c r="G233" s="788"/>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row>
    <row r="234" spans="2:70" s="2" customFormat="1" ht="18" x14ac:dyDescent="0.15">
      <c r="B234" s="789"/>
      <c r="C234" s="790"/>
      <c r="D234" s="791"/>
      <c r="E234" s="788"/>
      <c r="F234" s="788"/>
      <c r="G234" s="788"/>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row>
    <row r="235" spans="2:70" s="2" customFormat="1" ht="18" x14ac:dyDescent="0.15">
      <c r="B235" s="789"/>
      <c r="C235" s="790"/>
      <c r="D235" s="791"/>
      <c r="E235" s="788"/>
      <c r="F235" s="788"/>
      <c r="G235" s="788"/>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row>
    <row r="236" spans="2:70" s="2" customFormat="1" ht="18" x14ac:dyDescent="0.15">
      <c r="B236" s="789"/>
      <c r="C236" s="790"/>
      <c r="D236" s="791"/>
      <c r="E236" s="788"/>
      <c r="F236" s="788"/>
      <c r="G236" s="788"/>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row>
    <row r="237" spans="2:70" s="2" customFormat="1" ht="18" x14ac:dyDescent="0.15">
      <c r="B237" s="789"/>
      <c r="C237" s="790"/>
      <c r="D237" s="791"/>
      <c r="E237" s="788"/>
      <c r="F237" s="788"/>
      <c r="G237" s="788"/>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row>
    <row r="238" spans="2:70" s="2" customFormat="1" ht="18" x14ac:dyDescent="0.15">
      <c r="B238" s="789"/>
      <c r="C238" s="790"/>
      <c r="D238" s="791"/>
      <c r="E238" s="788"/>
      <c r="F238" s="788"/>
      <c r="G238" s="788"/>
      <c r="H238" s="53"/>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row>
    <row r="239" spans="2:70" s="57" customFormat="1" ht="18" x14ac:dyDescent="0.15">
      <c r="B239" s="789"/>
      <c r="C239" s="790"/>
      <c r="D239" s="791"/>
      <c r="E239" s="788"/>
      <c r="F239" s="788"/>
      <c r="G239" s="788"/>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row>
    <row r="240" spans="2:70" s="2" customFormat="1" ht="18" x14ac:dyDescent="0.15">
      <c r="B240" s="789"/>
      <c r="C240" s="790"/>
      <c r="D240" s="791"/>
      <c r="E240" s="788"/>
      <c r="F240" s="788"/>
      <c r="G240" s="788"/>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row>
    <row r="241" spans="2:70" s="2" customFormat="1" ht="18" x14ac:dyDescent="0.15">
      <c r="B241" s="789"/>
      <c r="C241" s="790"/>
      <c r="D241" s="791"/>
      <c r="E241" s="788"/>
      <c r="F241" s="788"/>
      <c r="G241" s="788"/>
      <c r="H241" s="53"/>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row>
    <row r="242" spans="2:70" s="2" customFormat="1" ht="18" x14ac:dyDescent="0.15">
      <c r="B242" s="789"/>
      <c r="C242" s="790"/>
      <c r="D242" s="791"/>
      <c r="E242" s="788"/>
      <c r="F242" s="788"/>
      <c r="G242" s="788"/>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row>
    <row r="243" spans="2:70" s="2" customFormat="1" ht="18" x14ac:dyDescent="0.15">
      <c r="B243" s="789"/>
      <c r="C243" s="790"/>
      <c r="D243" s="791"/>
      <c r="E243" s="788"/>
      <c r="F243" s="788"/>
      <c r="G243" s="788"/>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row>
    <row r="244" spans="2:70" s="58" customFormat="1" ht="18" x14ac:dyDescent="0.15">
      <c r="B244" s="789"/>
      <c r="C244" s="790"/>
      <c r="D244" s="791"/>
      <c r="E244" s="788"/>
      <c r="F244" s="788"/>
      <c r="G244" s="788"/>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row>
    <row r="245" spans="2:70" s="2" customFormat="1" ht="18" x14ac:dyDescent="0.15">
      <c r="B245" s="789"/>
      <c r="C245" s="790"/>
      <c r="D245" s="791"/>
      <c r="E245" s="788"/>
      <c r="F245" s="788"/>
      <c r="G245" s="788"/>
      <c r="H245" s="53"/>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row>
    <row r="246" spans="2:70" s="2" customFormat="1" ht="18" x14ac:dyDescent="0.15">
      <c r="B246" s="789"/>
      <c r="C246" s="790"/>
      <c r="D246" s="791"/>
      <c r="E246" s="788"/>
      <c r="F246" s="788"/>
      <c r="G246" s="788"/>
      <c r="H246" s="53"/>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row>
    <row r="247" spans="2:70" s="2" customFormat="1" ht="18" x14ac:dyDescent="0.15">
      <c r="B247" s="789"/>
      <c r="C247" s="790"/>
      <c r="D247" s="791"/>
      <c r="E247" s="788"/>
      <c r="F247" s="788"/>
      <c r="G247" s="788"/>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row>
    <row r="248" spans="2:70" s="146" customFormat="1" ht="27" customHeight="1" x14ac:dyDescent="0.15">
      <c r="B248" s="803" t="str">
        <f>IF('Cover Page'!$D$8&lt;&gt;"Please Select",'Cover Page'!$D$8, "")</f>
        <v/>
      </c>
      <c r="C248" s="803"/>
      <c r="D248" s="803"/>
      <c r="E248" s="803"/>
      <c r="F248" s="803"/>
      <c r="G248" s="804"/>
      <c r="H248"/>
      <c r="I248"/>
      <c r="J248"/>
      <c r="K248"/>
      <c r="L248"/>
    </row>
    <row r="249" spans="2:70" ht="38.25" customHeight="1" x14ac:dyDescent="0.15">
      <c r="B249" s="808" t="s">
        <v>183</v>
      </c>
      <c r="C249" s="809"/>
      <c r="D249" s="810"/>
      <c r="E249" s="810"/>
      <c r="F249" s="810"/>
      <c r="G249" s="811"/>
    </row>
    <row r="250" spans="2:70" ht="5.25" customHeight="1" x14ac:dyDescent="0.15">
      <c r="B250" s="821"/>
      <c r="C250" s="821"/>
      <c r="D250" s="821"/>
      <c r="E250" s="821"/>
      <c r="F250" s="821"/>
      <c r="G250" s="821"/>
    </row>
    <row r="251" spans="2:70" ht="35.25" customHeight="1" x14ac:dyDescent="0.15">
      <c r="B251" s="822" t="s">
        <v>616</v>
      </c>
      <c r="C251" s="823"/>
      <c r="D251" s="824"/>
      <c r="E251" s="219"/>
      <c r="F251" s="825" t="s">
        <v>448</v>
      </c>
      <c r="G251" s="825"/>
    </row>
    <row r="252" spans="2:70" ht="30.75" customHeight="1" x14ac:dyDescent="0.15">
      <c r="B252" s="225"/>
      <c r="C252" s="774" t="s">
        <v>203</v>
      </c>
      <c r="D252" s="775"/>
      <c r="E252" s="219"/>
      <c r="F252" s="825"/>
      <c r="G252" s="825"/>
    </row>
    <row r="253" spans="2:70" x14ac:dyDescent="0.15">
      <c r="B253" s="218"/>
      <c r="C253" s="218"/>
      <c r="D253" s="218"/>
      <c r="E253" s="218"/>
      <c r="F253" s="825"/>
      <c r="G253" s="825"/>
    </row>
    <row r="254" spans="2:70" ht="18" x14ac:dyDescent="0.2">
      <c r="B254" s="220" t="s">
        <v>4</v>
      </c>
      <c r="C254" s="220"/>
      <c r="D254" s="220"/>
      <c r="E254" s="220"/>
      <c r="F254" s="220"/>
      <c r="G254" s="220"/>
    </row>
    <row r="255" spans="2:70" ht="30" customHeight="1" x14ac:dyDescent="0.15">
      <c r="B255" s="777">
        <f>'Cover Page'!H21</f>
        <v>0</v>
      </c>
      <c r="C255" s="778"/>
      <c r="D255" s="226"/>
      <c r="E255" s="873"/>
      <c r="F255" s="874"/>
      <c r="G255" s="221"/>
    </row>
    <row r="256" spans="2:70" ht="30" customHeight="1" x14ac:dyDescent="0.2">
      <c r="B256" s="781" t="s">
        <v>184</v>
      </c>
      <c r="C256" s="782"/>
      <c r="D256" s="222" t="s">
        <v>185</v>
      </c>
      <c r="E256" s="781" t="s">
        <v>186</v>
      </c>
      <c r="F256" s="782"/>
      <c r="G256" s="223"/>
    </row>
    <row r="257" spans="2:7" ht="33.75" customHeight="1" x14ac:dyDescent="0.15">
      <c r="B257" s="225"/>
      <c r="C257" s="774" t="s">
        <v>203</v>
      </c>
      <c r="D257" s="775"/>
      <c r="E257" s="224"/>
      <c r="F257" s="224"/>
      <c r="G257" s="224"/>
    </row>
    <row r="258" spans="2:7" ht="23.25" customHeight="1" x14ac:dyDescent="0.15">
      <c r="B258" s="821"/>
      <c r="C258" s="821"/>
      <c r="D258" s="821"/>
      <c r="E258" s="821"/>
      <c r="F258" s="821"/>
      <c r="G258" s="821"/>
    </row>
    <row r="259" spans="2:7" ht="18" x14ac:dyDescent="0.2">
      <c r="B259" s="776" t="s">
        <v>5</v>
      </c>
      <c r="C259" s="776"/>
      <c r="D259" s="776"/>
      <c r="E259" s="776"/>
      <c r="F259" s="776"/>
      <c r="G259" s="776"/>
    </row>
    <row r="260" spans="2:7" ht="30" customHeight="1" x14ac:dyDescent="0.15">
      <c r="B260" s="777">
        <f>'Cover Page'!H23</f>
        <v>0</v>
      </c>
      <c r="C260" s="778"/>
      <c r="D260" s="226"/>
      <c r="E260" s="779"/>
      <c r="F260" s="780"/>
      <c r="G260" s="221"/>
    </row>
    <row r="261" spans="2:7" ht="30" customHeight="1" x14ac:dyDescent="0.2">
      <c r="B261" s="781" t="s">
        <v>184</v>
      </c>
      <c r="C261" s="782"/>
      <c r="D261" s="222" t="s">
        <v>185</v>
      </c>
      <c r="E261" s="781" t="s">
        <v>186</v>
      </c>
      <c r="F261" s="782"/>
      <c r="G261" s="223"/>
    </row>
    <row r="262" spans="2:7" ht="38.25" customHeight="1" x14ac:dyDescent="0.15">
      <c r="B262" s="225"/>
      <c r="C262" s="774" t="s">
        <v>203</v>
      </c>
      <c r="D262" s="775"/>
      <c r="E262" s="224"/>
      <c r="F262" s="224"/>
      <c r="G262" s="224"/>
    </row>
    <row r="263" spans="2:7" x14ac:dyDescent="0.15">
      <c r="B263" s="195"/>
      <c r="C263" s="195"/>
      <c r="D263" s="195"/>
      <c r="E263" s="195"/>
      <c r="F263" s="195"/>
      <c r="G263" s="195"/>
    </row>
    <row r="264" spans="2:7" x14ac:dyDescent="0.15">
      <c r="B264" s="195"/>
      <c r="C264" s="195"/>
      <c r="D264" s="195"/>
      <c r="E264" s="195"/>
      <c r="F264" s="195"/>
      <c r="G264" s="195"/>
    </row>
    <row r="265" spans="2:7" ht="18" x14ac:dyDescent="0.2">
      <c r="B265" s="776" t="s">
        <v>209</v>
      </c>
      <c r="C265" s="776"/>
      <c r="D265" s="776"/>
      <c r="E265" s="776"/>
      <c r="F265" s="776"/>
      <c r="G265" s="776"/>
    </row>
    <row r="266" spans="2:7" ht="30" customHeight="1" x14ac:dyDescent="0.15">
      <c r="B266" s="777" t="str">
        <f>IF('Cover Page'!H25&lt;&gt;"",'Cover Page'!H25,"N/A")</f>
        <v>N/A</v>
      </c>
      <c r="C266" s="778"/>
      <c r="D266" s="226"/>
      <c r="E266" s="779"/>
      <c r="F266" s="780"/>
      <c r="G266" s="221"/>
    </row>
    <row r="267" spans="2:7" ht="30" customHeight="1" x14ac:dyDescent="0.2">
      <c r="B267" s="781" t="s">
        <v>184</v>
      </c>
      <c r="C267" s="782"/>
      <c r="D267" s="222" t="s">
        <v>185</v>
      </c>
      <c r="E267" s="781" t="s">
        <v>186</v>
      </c>
      <c r="F267" s="782"/>
      <c r="G267" s="223"/>
    </row>
    <row r="268" spans="2:7" ht="39" customHeight="1" x14ac:dyDescent="0.15">
      <c r="B268" s="225"/>
      <c r="C268" s="774" t="s">
        <v>203</v>
      </c>
      <c r="D268" s="775"/>
      <c r="E268" s="224"/>
      <c r="F268" s="224"/>
      <c r="G268" s="224"/>
    </row>
    <row r="269" spans="2:7" x14ac:dyDescent="0.15">
      <c r="B269" s="195"/>
      <c r="C269" s="195"/>
      <c r="D269" s="195"/>
      <c r="E269" s="195"/>
      <c r="F269" s="195"/>
      <c r="G269" s="195"/>
    </row>
    <row r="270" spans="2:7" x14ac:dyDescent="0.15">
      <c r="B270" s="195"/>
      <c r="C270" s="195"/>
      <c r="D270" s="195"/>
      <c r="E270" s="195"/>
      <c r="F270" s="195"/>
      <c r="G270" s="195"/>
    </row>
    <row r="271" spans="2:7" ht="18" x14ac:dyDescent="0.2">
      <c r="B271" s="776" t="s">
        <v>209</v>
      </c>
      <c r="C271" s="776"/>
      <c r="D271" s="776"/>
      <c r="E271" s="776"/>
      <c r="F271" s="776"/>
      <c r="G271" s="776"/>
    </row>
    <row r="272" spans="2:7" ht="30" customHeight="1" x14ac:dyDescent="0.15">
      <c r="B272" s="777" t="str">
        <f>IF('Cover Page'!H27&lt;&gt;"",'Cover Page'!H27,"N/A")</f>
        <v>N/A</v>
      </c>
      <c r="C272" s="778"/>
      <c r="D272" s="226"/>
      <c r="E272" s="779"/>
      <c r="F272" s="780"/>
      <c r="G272" s="221"/>
    </row>
    <row r="273" spans="2:7" ht="30" customHeight="1" x14ac:dyDescent="0.2">
      <c r="B273" s="781" t="s">
        <v>184</v>
      </c>
      <c r="C273" s="782"/>
      <c r="D273" s="222" t="s">
        <v>185</v>
      </c>
      <c r="E273" s="781" t="s">
        <v>186</v>
      </c>
      <c r="F273" s="782"/>
      <c r="G273" s="223"/>
    </row>
    <row r="274" spans="2:7" ht="44.25" customHeight="1" x14ac:dyDescent="0.15">
      <c r="B274" s="225"/>
      <c r="C274" s="774" t="s">
        <v>203</v>
      </c>
      <c r="D274" s="775"/>
      <c r="E274" s="224"/>
      <c r="F274" s="224"/>
      <c r="G274" s="224"/>
    </row>
    <row r="275" spans="2:7" x14ac:dyDescent="0.15">
      <c r="B275" s="195"/>
      <c r="C275" s="195"/>
      <c r="D275" s="195"/>
      <c r="E275" s="195"/>
      <c r="F275" s="195"/>
      <c r="G275" s="195"/>
    </row>
    <row r="276" spans="2:7" ht="18" hidden="1" x14ac:dyDescent="0.2">
      <c r="B276" s="776" t="s">
        <v>209</v>
      </c>
      <c r="C276" s="776"/>
      <c r="D276" s="776"/>
      <c r="E276" s="776"/>
      <c r="F276" s="776"/>
      <c r="G276" s="776"/>
    </row>
    <row r="277" spans="2:7" ht="30" hidden="1" customHeight="1" x14ac:dyDescent="0.15">
      <c r="B277" s="777" t="str">
        <f>IF('Cover Page'!H29&lt;&gt;"",'Cover Page'!H29,"N/A")</f>
        <v>N/A</v>
      </c>
      <c r="C277" s="778"/>
      <c r="D277" s="226"/>
      <c r="E277" s="779"/>
      <c r="F277" s="780"/>
      <c r="G277" s="221"/>
    </row>
    <row r="278" spans="2:7" ht="30" hidden="1" customHeight="1" x14ac:dyDescent="0.2">
      <c r="B278" s="781" t="s">
        <v>184</v>
      </c>
      <c r="C278" s="782"/>
      <c r="D278" s="222" t="s">
        <v>185</v>
      </c>
      <c r="E278" s="781" t="s">
        <v>186</v>
      </c>
      <c r="F278" s="782"/>
      <c r="G278" s="223"/>
    </row>
    <row r="279" spans="2:7" ht="39" hidden="1" customHeight="1" x14ac:dyDescent="0.15">
      <c r="B279" s="225"/>
      <c r="C279" s="774" t="s">
        <v>203</v>
      </c>
      <c r="D279" s="775"/>
      <c r="E279" s="224"/>
      <c r="F279" s="224"/>
      <c r="G279" s="224"/>
    </row>
    <row r="280" spans="2:7" hidden="1" x14ac:dyDescent="0.15">
      <c r="B280" s="195"/>
      <c r="C280" s="195"/>
      <c r="D280" s="195"/>
      <c r="E280" s="195"/>
      <c r="F280" s="195"/>
      <c r="G280" s="195"/>
    </row>
    <row r="281" spans="2:7" hidden="1" x14ac:dyDescent="0.15">
      <c r="B281" s="195"/>
      <c r="C281" s="195"/>
      <c r="D281" s="195"/>
      <c r="E281" s="195"/>
      <c r="F281" s="195"/>
      <c r="G281" s="195"/>
    </row>
    <row r="282" spans="2:7" ht="18" hidden="1" x14ac:dyDescent="0.2">
      <c r="B282" s="776" t="s">
        <v>209</v>
      </c>
      <c r="C282" s="776"/>
      <c r="D282" s="776"/>
      <c r="E282" s="776"/>
      <c r="F282" s="776"/>
      <c r="G282" s="776"/>
    </row>
    <row r="283" spans="2:7" ht="30" hidden="1" customHeight="1" x14ac:dyDescent="0.15">
      <c r="B283" s="777" t="str">
        <f>IF('Cover Page'!H31&lt;&gt;"",'Cover Page'!H31,"N/A")</f>
        <v>N/A</v>
      </c>
      <c r="C283" s="778"/>
      <c r="D283" s="226"/>
      <c r="E283" s="779"/>
      <c r="F283" s="780"/>
      <c r="G283" s="221"/>
    </row>
    <row r="284" spans="2:7" ht="30" hidden="1" customHeight="1" x14ac:dyDescent="0.2">
      <c r="B284" s="781" t="s">
        <v>184</v>
      </c>
      <c r="C284" s="782"/>
      <c r="D284" s="222" t="s">
        <v>185</v>
      </c>
      <c r="E284" s="781" t="s">
        <v>186</v>
      </c>
      <c r="F284" s="782"/>
      <c r="G284" s="223"/>
    </row>
    <row r="285" spans="2:7" ht="44.25" hidden="1" customHeight="1" x14ac:dyDescent="0.15">
      <c r="B285" s="225"/>
      <c r="C285" s="774" t="s">
        <v>203</v>
      </c>
      <c r="D285" s="775"/>
      <c r="E285" s="224"/>
      <c r="F285" s="224"/>
      <c r="G285" s="224"/>
    </row>
    <row r="286" spans="2:7" hidden="1" x14ac:dyDescent="0.15">
      <c r="B286" s="195"/>
      <c r="C286" s="195"/>
      <c r="D286" s="195"/>
      <c r="E286" s="195"/>
      <c r="F286" s="195"/>
      <c r="G286" s="195"/>
    </row>
    <row r="287" spans="2:7" hidden="1" x14ac:dyDescent="0.15">
      <c r="B287" s="195"/>
      <c r="C287" s="195"/>
      <c r="D287" s="195"/>
      <c r="E287" s="195"/>
      <c r="F287" s="195"/>
      <c r="G287" s="195"/>
    </row>
    <row r="288" spans="2:7" ht="18" hidden="1" x14ac:dyDescent="0.2">
      <c r="B288" s="776" t="s">
        <v>209</v>
      </c>
      <c r="C288" s="776"/>
      <c r="D288" s="776"/>
      <c r="E288" s="776"/>
      <c r="F288" s="776"/>
      <c r="G288" s="776"/>
    </row>
    <row r="289" spans="2:7" ht="30" hidden="1" customHeight="1" x14ac:dyDescent="0.15">
      <c r="B289" s="777" t="str">
        <f>IF('Cover Page'!H33&lt;&gt;"",'Cover Page'!H33,"N/A")</f>
        <v>N/A</v>
      </c>
      <c r="C289" s="778"/>
      <c r="D289" s="226"/>
      <c r="E289" s="779"/>
      <c r="F289" s="780"/>
      <c r="G289" s="221"/>
    </row>
    <row r="290" spans="2:7" ht="30" hidden="1" customHeight="1" x14ac:dyDescent="0.2">
      <c r="B290" s="781" t="s">
        <v>184</v>
      </c>
      <c r="C290" s="782"/>
      <c r="D290" s="222" t="s">
        <v>185</v>
      </c>
      <c r="E290" s="781" t="s">
        <v>186</v>
      </c>
      <c r="F290" s="782"/>
      <c r="G290" s="223"/>
    </row>
    <row r="291" spans="2:7" ht="44.25" hidden="1" customHeight="1" x14ac:dyDescent="0.15">
      <c r="B291" s="225"/>
      <c r="C291" s="774" t="s">
        <v>203</v>
      </c>
      <c r="D291" s="775"/>
      <c r="E291" s="224"/>
      <c r="F291" s="224"/>
      <c r="G291" s="224"/>
    </row>
    <row r="292" spans="2:7" hidden="1" x14ac:dyDescent="0.15">
      <c r="B292" s="195"/>
      <c r="C292" s="195"/>
      <c r="D292" s="195"/>
      <c r="E292" s="195"/>
      <c r="F292" s="195"/>
      <c r="G292" s="195"/>
    </row>
    <row r="293" spans="2:7" x14ac:dyDescent="0.15">
      <c r="B293" s="195"/>
      <c r="C293" s="195"/>
      <c r="D293" s="195"/>
      <c r="E293" s="195"/>
      <c r="F293" s="195"/>
      <c r="G293" s="195"/>
    </row>
    <row r="294" spans="2:7" x14ac:dyDescent="0.15">
      <c r="B294" s="195"/>
      <c r="C294" s="195"/>
      <c r="D294" s="195"/>
      <c r="E294" s="195"/>
      <c r="F294" s="195"/>
      <c r="G294" s="195"/>
    </row>
    <row r="295" spans="2:7" x14ac:dyDescent="0.15">
      <c r="B295" s="195"/>
      <c r="C295" s="195"/>
      <c r="D295" s="195"/>
      <c r="E295" s="195"/>
      <c r="F295" s="195"/>
      <c r="G295" s="195"/>
    </row>
    <row r="296" spans="2:7" x14ac:dyDescent="0.15">
      <c r="B296" s="195"/>
      <c r="C296" s="195"/>
      <c r="D296" s="195"/>
      <c r="E296" s="195"/>
      <c r="F296" s="195"/>
      <c r="G296" s="195"/>
    </row>
    <row r="297" spans="2:7" x14ac:dyDescent="0.15">
      <c r="B297" s="195"/>
      <c r="C297" s="195"/>
      <c r="D297" s="195"/>
      <c r="E297" s="195"/>
      <c r="F297" s="195"/>
      <c r="G297" s="195"/>
    </row>
    <row r="298" spans="2:7" x14ac:dyDescent="0.15">
      <c r="B298" s="195"/>
      <c r="C298" s="195"/>
      <c r="D298" s="195"/>
      <c r="E298" s="195"/>
      <c r="F298" s="195"/>
      <c r="G298" s="195"/>
    </row>
    <row r="299" spans="2:7" x14ac:dyDescent="0.15">
      <c r="B299" s="195"/>
      <c r="C299" s="195"/>
      <c r="D299" s="195"/>
      <c r="E299" s="195"/>
      <c r="F299" s="195"/>
      <c r="G299" s="195"/>
    </row>
    <row r="300" spans="2:7" x14ac:dyDescent="0.15">
      <c r="B300" s="195"/>
      <c r="C300" s="195"/>
      <c r="D300" s="195"/>
      <c r="E300" s="195"/>
      <c r="F300" s="195"/>
      <c r="G300" s="195"/>
    </row>
    <row r="301" spans="2:7" x14ac:dyDescent="0.15">
      <c r="B301" s="195"/>
      <c r="C301" s="195"/>
      <c r="D301" s="195"/>
      <c r="E301" s="195"/>
      <c r="F301" s="195"/>
      <c r="G301" s="195"/>
    </row>
    <row r="302" spans="2:7" x14ac:dyDescent="0.15">
      <c r="B302" s="195"/>
      <c r="C302" s="195"/>
      <c r="D302" s="195"/>
      <c r="E302" s="195"/>
      <c r="F302" s="195"/>
      <c r="G302" s="195"/>
    </row>
    <row r="303" spans="2:7" x14ac:dyDescent="0.15">
      <c r="B303" s="195"/>
      <c r="C303" s="195"/>
      <c r="D303" s="195"/>
      <c r="E303" s="195"/>
      <c r="F303" s="195"/>
      <c r="G303" s="195"/>
    </row>
    <row r="304" spans="2:7" x14ac:dyDescent="0.15">
      <c r="B304" s="195"/>
      <c r="C304" s="195"/>
      <c r="D304" s="195"/>
      <c r="E304" s="195"/>
      <c r="F304" s="195"/>
      <c r="G304" s="195"/>
    </row>
    <row r="305" spans="2:7" x14ac:dyDescent="0.15">
      <c r="B305" s="195"/>
      <c r="C305" s="195"/>
      <c r="D305" s="195"/>
      <c r="E305" s="195"/>
      <c r="F305" s="195"/>
      <c r="G305" s="195"/>
    </row>
    <row r="306" spans="2:7" x14ac:dyDescent="0.15">
      <c r="B306" s="195"/>
      <c r="C306" s="195"/>
      <c r="D306" s="195"/>
      <c r="E306" s="195"/>
      <c r="F306" s="195"/>
      <c r="G306" s="195"/>
    </row>
    <row r="307" spans="2:7" x14ac:dyDescent="0.15">
      <c r="B307" s="195"/>
      <c r="C307" s="195"/>
      <c r="D307" s="195"/>
      <c r="E307" s="195"/>
      <c r="F307" s="195"/>
      <c r="G307" s="195"/>
    </row>
    <row r="308" spans="2:7" x14ac:dyDescent="0.15">
      <c r="B308" s="195"/>
      <c r="C308" s="195"/>
      <c r="D308" s="195"/>
      <c r="E308" s="195"/>
      <c r="F308" s="195"/>
      <c r="G308" s="195"/>
    </row>
    <row r="309" spans="2:7" x14ac:dyDescent="0.15">
      <c r="B309" s="195"/>
      <c r="C309" s="195"/>
      <c r="D309" s="195"/>
      <c r="E309" s="195"/>
      <c r="F309" s="195"/>
      <c r="G309" s="195"/>
    </row>
    <row r="310" spans="2:7" x14ac:dyDescent="0.15">
      <c r="B310" s="195"/>
      <c r="C310" s="195"/>
      <c r="D310" s="195"/>
      <c r="E310" s="195"/>
      <c r="F310" s="195"/>
      <c r="G310" s="195"/>
    </row>
    <row r="311" spans="2:7" x14ac:dyDescent="0.15">
      <c r="B311" s="195"/>
      <c r="C311" s="195"/>
      <c r="D311" s="195"/>
      <c r="E311" s="195"/>
      <c r="F311" s="195"/>
      <c r="G311" s="195"/>
    </row>
    <row r="312" spans="2:7" x14ac:dyDescent="0.15">
      <c r="B312" s="195"/>
      <c r="C312" s="195"/>
      <c r="D312" s="195"/>
      <c r="E312" s="195"/>
      <c r="F312" s="195"/>
      <c r="G312" s="195"/>
    </row>
    <row r="313" spans="2:7" x14ac:dyDescent="0.15">
      <c r="B313" s="195"/>
      <c r="C313" s="195"/>
      <c r="D313" s="195"/>
      <c r="E313" s="195"/>
      <c r="F313" s="195"/>
      <c r="G313" s="195"/>
    </row>
    <row r="314" spans="2:7" x14ac:dyDescent="0.15">
      <c r="B314" s="195"/>
      <c r="C314" s="195"/>
      <c r="D314" s="195"/>
      <c r="E314" s="195"/>
      <c r="F314" s="195"/>
      <c r="G314" s="195"/>
    </row>
    <row r="315" spans="2:7" x14ac:dyDescent="0.15">
      <c r="B315" s="195"/>
      <c r="C315" s="195"/>
      <c r="D315" s="195"/>
      <c r="E315" s="195"/>
      <c r="F315" s="195"/>
      <c r="G315" s="195"/>
    </row>
    <row r="316" spans="2:7" x14ac:dyDescent="0.15">
      <c r="B316" s="195"/>
      <c r="C316" s="195"/>
      <c r="D316" s="195"/>
      <c r="E316" s="195"/>
      <c r="F316" s="195"/>
      <c r="G316" s="195"/>
    </row>
    <row r="317" spans="2:7" x14ac:dyDescent="0.15">
      <c r="B317" s="195"/>
      <c r="C317" s="195"/>
      <c r="D317" s="195"/>
      <c r="E317" s="195"/>
      <c r="F317" s="195"/>
      <c r="G317" s="195"/>
    </row>
    <row r="318" spans="2:7" x14ac:dyDescent="0.15">
      <c r="B318" s="195"/>
      <c r="C318" s="195"/>
      <c r="D318" s="195"/>
      <c r="E318" s="195"/>
      <c r="F318" s="195"/>
      <c r="G318" s="195"/>
    </row>
    <row r="319" spans="2:7" x14ac:dyDescent="0.15">
      <c r="B319" s="195"/>
      <c r="C319" s="195"/>
      <c r="D319" s="195"/>
      <c r="E319" s="195"/>
      <c r="F319" s="195"/>
      <c r="G319" s="195"/>
    </row>
    <row r="320" spans="2:7" x14ac:dyDescent="0.15">
      <c r="B320" s="195"/>
      <c r="C320" s="195"/>
      <c r="D320" s="195"/>
      <c r="E320" s="195"/>
      <c r="F320" s="195"/>
      <c r="G320" s="195"/>
    </row>
    <row r="321" spans="2:7" x14ac:dyDescent="0.15">
      <c r="B321" s="195"/>
      <c r="C321" s="195"/>
      <c r="D321" s="195"/>
      <c r="E321" s="195"/>
      <c r="F321" s="195"/>
      <c r="G321" s="195"/>
    </row>
    <row r="322" spans="2:7" x14ac:dyDescent="0.15">
      <c r="B322" s="195"/>
      <c r="C322" s="195"/>
      <c r="D322" s="195"/>
      <c r="E322" s="195"/>
      <c r="F322" s="195"/>
      <c r="G322" s="195"/>
    </row>
    <row r="323" spans="2:7" x14ac:dyDescent="0.15">
      <c r="B323" s="195"/>
      <c r="C323" s="195"/>
      <c r="D323" s="195"/>
      <c r="E323" s="195"/>
      <c r="F323" s="195"/>
      <c r="G323" s="195"/>
    </row>
    <row r="324" spans="2:7" x14ac:dyDescent="0.15">
      <c r="B324" s="195"/>
      <c r="C324" s="195"/>
      <c r="D324" s="195"/>
      <c r="E324" s="195"/>
      <c r="F324" s="195"/>
      <c r="G324" s="195"/>
    </row>
    <row r="325" spans="2:7" x14ac:dyDescent="0.15">
      <c r="B325" s="195"/>
      <c r="C325" s="195"/>
      <c r="D325" s="195"/>
      <c r="E325" s="195"/>
      <c r="F325" s="195"/>
      <c r="G325" s="195"/>
    </row>
    <row r="326" spans="2:7" x14ac:dyDescent="0.15">
      <c r="B326" s="195"/>
      <c r="C326" s="195"/>
      <c r="D326" s="195"/>
      <c r="E326" s="195"/>
      <c r="F326" s="195"/>
      <c r="G326" s="195"/>
    </row>
    <row r="327" spans="2:7" x14ac:dyDescent="0.15">
      <c r="B327" s="195"/>
      <c r="C327" s="195"/>
      <c r="D327" s="195"/>
      <c r="E327" s="195"/>
      <c r="F327" s="195"/>
      <c r="G327" s="195"/>
    </row>
    <row r="328" spans="2:7" x14ac:dyDescent="0.15">
      <c r="B328" s="195"/>
      <c r="C328" s="195"/>
      <c r="D328" s="195"/>
      <c r="E328" s="195"/>
      <c r="F328" s="195"/>
      <c r="G328" s="195"/>
    </row>
    <row r="329" spans="2:7" x14ac:dyDescent="0.15">
      <c r="B329" s="195"/>
      <c r="C329" s="195"/>
      <c r="D329" s="195"/>
      <c r="E329" s="195"/>
      <c r="F329" s="195"/>
      <c r="G329" s="195"/>
    </row>
    <row r="330" spans="2:7" x14ac:dyDescent="0.15">
      <c r="B330" s="195"/>
      <c r="C330" s="195"/>
      <c r="D330" s="195"/>
      <c r="E330" s="195"/>
      <c r="F330" s="195"/>
      <c r="G330" s="195"/>
    </row>
    <row r="331" spans="2:7" x14ac:dyDescent="0.15">
      <c r="B331" s="195"/>
      <c r="C331" s="195"/>
      <c r="D331" s="195"/>
      <c r="E331" s="195"/>
      <c r="F331" s="195"/>
      <c r="G331" s="195"/>
    </row>
    <row r="332" spans="2:7" x14ac:dyDescent="0.15">
      <c r="B332" s="195"/>
      <c r="C332" s="195"/>
      <c r="D332" s="195"/>
      <c r="E332" s="195"/>
      <c r="F332" s="195"/>
      <c r="G332" s="195"/>
    </row>
    <row r="333" spans="2:7" x14ac:dyDescent="0.15">
      <c r="B333" s="195"/>
      <c r="C333" s="195"/>
      <c r="D333" s="195"/>
      <c r="E333" s="195"/>
      <c r="F333" s="195"/>
      <c r="G333" s="195"/>
    </row>
    <row r="334" spans="2:7" x14ac:dyDescent="0.15">
      <c r="B334" s="195"/>
      <c r="C334" s="195"/>
      <c r="D334" s="195"/>
      <c r="E334" s="195"/>
      <c r="F334" s="195"/>
      <c r="G334" s="195"/>
    </row>
    <row r="335" spans="2:7" x14ac:dyDescent="0.15">
      <c r="B335" s="195"/>
      <c r="C335" s="195"/>
      <c r="D335" s="195"/>
      <c r="E335" s="195"/>
      <c r="F335" s="195"/>
      <c r="G335" s="195"/>
    </row>
    <row r="336" spans="2:7" x14ac:dyDescent="0.15">
      <c r="B336" s="195"/>
      <c r="C336" s="195"/>
      <c r="D336" s="195"/>
      <c r="E336" s="195"/>
      <c r="F336" s="195"/>
      <c r="G336" s="195"/>
    </row>
    <row r="337" spans="2:7" x14ac:dyDescent="0.15">
      <c r="B337" s="195"/>
      <c r="C337" s="195"/>
      <c r="D337" s="195"/>
      <c r="E337" s="195"/>
      <c r="F337" s="195"/>
      <c r="G337" s="195"/>
    </row>
    <row r="338" spans="2:7" x14ac:dyDescent="0.15">
      <c r="B338" s="195"/>
      <c r="C338" s="195"/>
      <c r="D338" s="195"/>
      <c r="E338" s="195"/>
      <c r="F338" s="195"/>
      <c r="G338" s="195"/>
    </row>
    <row r="339" spans="2:7" x14ac:dyDescent="0.15">
      <c r="B339" s="195"/>
      <c r="C339" s="195"/>
      <c r="D339" s="195"/>
      <c r="E339" s="195"/>
      <c r="F339" s="195"/>
      <c r="G339" s="195"/>
    </row>
    <row r="340" spans="2:7" x14ac:dyDescent="0.15">
      <c r="B340" s="195"/>
      <c r="C340" s="195"/>
      <c r="D340" s="195"/>
      <c r="E340" s="195"/>
      <c r="F340" s="195"/>
      <c r="G340" s="195"/>
    </row>
    <row r="341" spans="2:7" x14ac:dyDescent="0.15">
      <c r="B341" s="195"/>
      <c r="C341" s="195"/>
      <c r="D341" s="195"/>
      <c r="E341" s="195"/>
      <c r="F341" s="195"/>
      <c r="G341" s="195"/>
    </row>
    <row r="342" spans="2:7" x14ac:dyDescent="0.15">
      <c r="B342" s="195"/>
      <c r="C342" s="195"/>
      <c r="D342" s="195"/>
      <c r="E342" s="195"/>
      <c r="F342" s="195"/>
      <c r="G342" s="195"/>
    </row>
    <row r="343" spans="2:7" x14ac:dyDescent="0.15">
      <c r="B343" s="195"/>
      <c r="C343" s="195"/>
      <c r="D343" s="195"/>
      <c r="E343" s="195"/>
      <c r="F343" s="195"/>
      <c r="G343" s="195"/>
    </row>
    <row r="344" spans="2:7" x14ac:dyDescent="0.15">
      <c r="B344" s="195"/>
      <c r="C344" s="195"/>
      <c r="D344" s="195"/>
      <c r="E344" s="195"/>
      <c r="F344" s="195"/>
      <c r="G344" s="195"/>
    </row>
    <row r="345" spans="2:7" x14ac:dyDescent="0.15">
      <c r="B345" s="195"/>
      <c r="C345" s="195"/>
      <c r="D345" s="195"/>
      <c r="E345" s="195"/>
      <c r="F345" s="195"/>
      <c r="G345" s="195"/>
    </row>
    <row r="346" spans="2:7" x14ac:dyDescent="0.15">
      <c r="B346" s="195"/>
      <c r="C346" s="195"/>
      <c r="D346" s="195"/>
      <c r="E346" s="195"/>
      <c r="F346" s="195"/>
      <c r="G346" s="195"/>
    </row>
    <row r="347" spans="2:7" x14ac:dyDescent="0.15">
      <c r="B347" s="195"/>
      <c r="C347" s="195"/>
      <c r="D347" s="195"/>
      <c r="E347" s="195"/>
      <c r="F347" s="195"/>
      <c r="G347" s="195"/>
    </row>
    <row r="348" spans="2:7" x14ac:dyDescent="0.15">
      <c r="B348" s="195"/>
      <c r="C348" s="195"/>
      <c r="D348" s="195"/>
      <c r="E348" s="195"/>
      <c r="F348" s="195"/>
      <c r="G348" s="195"/>
    </row>
  </sheetData>
  <sheetProtection algorithmName="SHA-512" hashValue="z1NpSQAukvRJtUBNRFPFKnERABs6yQfaVv5Ik7wvOKPoLI6C3rICh0AVSVXSF7xwQANiQgG9KJdJ/u4p12TbvQ==" saltValue="XYQdahPziZ5trGuynkiTUA==" spinCount="100000" sheet="1" formatRows="0" deleteRows="0"/>
  <protectedRanges>
    <protectedRange sqref="A161:XFD163 A186:XFD189 A199:XFD202 A70:XFD72 A62:XFD68 A39:XFD40 A32:XFD37" name="Range1"/>
  </protectedRanges>
  <customSheetViews>
    <customSheetView guid="{C17C9B4A-0866-4AA0-BC6D-B2274E9D30D3}"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1"/>
    </customSheetView>
    <customSheetView guid="{6FDBC1BF-99FD-492F-9A38-B1FC9531BD14}"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2"/>
    </customSheetView>
  </customSheetViews>
  <mergeCells count="3225">
    <mergeCell ref="E256:F256"/>
    <mergeCell ref="E255:F255"/>
    <mergeCell ref="E260:F260"/>
    <mergeCell ref="E261:F261"/>
    <mergeCell ref="E266:F266"/>
    <mergeCell ref="E267:F267"/>
    <mergeCell ref="E272:F272"/>
    <mergeCell ref="E273:F273"/>
    <mergeCell ref="D143:F143"/>
    <mergeCell ref="B154:C154"/>
    <mergeCell ref="D154:F154"/>
    <mergeCell ref="B155:C155"/>
    <mergeCell ref="B126:C126"/>
    <mergeCell ref="D126:F126"/>
    <mergeCell ref="B107:C107"/>
    <mergeCell ref="D107:F107"/>
    <mergeCell ref="D128:F128"/>
    <mergeCell ref="B151:C151"/>
    <mergeCell ref="D151:F151"/>
    <mergeCell ref="B150:C150"/>
    <mergeCell ref="B147:C147"/>
    <mergeCell ref="B114:C114"/>
    <mergeCell ref="B158:C158"/>
    <mergeCell ref="D158:F158"/>
    <mergeCell ref="B128:C128"/>
    <mergeCell ref="B132:C132"/>
    <mergeCell ref="D132:F132"/>
    <mergeCell ref="B133:C133"/>
    <mergeCell ref="D133:F133"/>
    <mergeCell ref="B134:C134"/>
    <mergeCell ref="D134:F134"/>
    <mergeCell ref="B135:C135"/>
    <mergeCell ref="XEC224:XEH224"/>
    <mergeCell ref="XEI224:XEN224"/>
    <mergeCell ref="XEO224:XET224"/>
    <mergeCell ref="XEU224:XEZ224"/>
    <mergeCell ref="XFA224:XFD224"/>
    <mergeCell ref="XCA224:XCF224"/>
    <mergeCell ref="XCG224:XCL224"/>
    <mergeCell ref="XCM224:XCR224"/>
    <mergeCell ref="XCS224:XCX224"/>
    <mergeCell ref="XCY224:XDD224"/>
    <mergeCell ref="XDE224:XDJ224"/>
    <mergeCell ref="XDK224:XDP224"/>
    <mergeCell ref="XDQ224:XDV224"/>
    <mergeCell ref="XDW224:XEB224"/>
    <mergeCell ref="WZY224:XAD224"/>
    <mergeCell ref="XAE224:XAJ224"/>
    <mergeCell ref="XAK224:XAP224"/>
    <mergeCell ref="XAQ224:XAV224"/>
    <mergeCell ref="XAW224:XBB224"/>
    <mergeCell ref="XBC224:XBH224"/>
    <mergeCell ref="XBI224:XBN224"/>
    <mergeCell ref="XBO224:XBT224"/>
    <mergeCell ref="XBU224:XBZ224"/>
    <mergeCell ref="WXW224:WYB224"/>
    <mergeCell ref="WYC224:WYH224"/>
    <mergeCell ref="WYI224:WYN224"/>
    <mergeCell ref="WYO224:WYT224"/>
    <mergeCell ref="WYU224:WYZ224"/>
    <mergeCell ref="WZA224:WZF224"/>
    <mergeCell ref="WZG224:WZL224"/>
    <mergeCell ref="WZM224:WZR224"/>
    <mergeCell ref="WZS224:WZX224"/>
    <mergeCell ref="WVU224:WVZ224"/>
    <mergeCell ref="WWA224:WWF224"/>
    <mergeCell ref="WWG224:WWL224"/>
    <mergeCell ref="WWM224:WWR224"/>
    <mergeCell ref="WWS224:WWX224"/>
    <mergeCell ref="WWY224:WXD224"/>
    <mergeCell ref="WXE224:WXJ224"/>
    <mergeCell ref="WXK224:WXP224"/>
    <mergeCell ref="WXQ224:WXV224"/>
    <mergeCell ref="WTS224:WTX224"/>
    <mergeCell ref="WTY224:WUD224"/>
    <mergeCell ref="WUE224:WUJ224"/>
    <mergeCell ref="WUK224:WUP224"/>
    <mergeCell ref="WUQ224:WUV224"/>
    <mergeCell ref="WUW224:WVB224"/>
    <mergeCell ref="WVC224:WVH224"/>
    <mergeCell ref="WVI224:WVN224"/>
    <mergeCell ref="WVO224:WVT224"/>
    <mergeCell ref="WRQ224:WRV224"/>
    <mergeCell ref="WRW224:WSB224"/>
    <mergeCell ref="WSC224:WSH224"/>
    <mergeCell ref="WSI224:WSN224"/>
    <mergeCell ref="WSO224:WST224"/>
    <mergeCell ref="WSU224:WSZ224"/>
    <mergeCell ref="WTA224:WTF224"/>
    <mergeCell ref="WTG224:WTL224"/>
    <mergeCell ref="WTM224:WTR224"/>
    <mergeCell ref="WPO224:WPT224"/>
    <mergeCell ref="WPU224:WPZ224"/>
    <mergeCell ref="WQA224:WQF224"/>
    <mergeCell ref="WQG224:WQL224"/>
    <mergeCell ref="WQM224:WQR224"/>
    <mergeCell ref="WQS224:WQX224"/>
    <mergeCell ref="WQY224:WRD224"/>
    <mergeCell ref="WRE224:WRJ224"/>
    <mergeCell ref="WRK224:WRP224"/>
    <mergeCell ref="WNM224:WNR224"/>
    <mergeCell ref="WNS224:WNX224"/>
    <mergeCell ref="WNY224:WOD224"/>
    <mergeCell ref="WOE224:WOJ224"/>
    <mergeCell ref="WOK224:WOP224"/>
    <mergeCell ref="WOQ224:WOV224"/>
    <mergeCell ref="WOW224:WPB224"/>
    <mergeCell ref="WPC224:WPH224"/>
    <mergeCell ref="WPI224:WPN224"/>
    <mergeCell ref="WLK224:WLP224"/>
    <mergeCell ref="WLQ224:WLV224"/>
    <mergeCell ref="WLW224:WMB224"/>
    <mergeCell ref="WMC224:WMH224"/>
    <mergeCell ref="WMI224:WMN224"/>
    <mergeCell ref="WMO224:WMT224"/>
    <mergeCell ref="WMU224:WMZ224"/>
    <mergeCell ref="WNA224:WNF224"/>
    <mergeCell ref="WNG224:WNL224"/>
    <mergeCell ref="WJI224:WJN224"/>
    <mergeCell ref="WJO224:WJT224"/>
    <mergeCell ref="WJU224:WJZ224"/>
    <mergeCell ref="WKA224:WKF224"/>
    <mergeCell ref="WKG224:WKL224"/>
    <mergeCell ref="WKM224:WKR224"/>
    <mergeCell ref="WKS224:WKX224"/>
    <mergeCell ref="WKY224:WLD224"/>
    <mergeCell ref="WLE224:WLJ224"/>
    <mergeCell ref="WHG224:WHL224"/>
    <mergeCell ref="WHM224:WHR224"/>
    <mergeCell ref="WHS224:WHX224"/>
    <mergeCell ref="WHY224:WID224"/>
    <mergeCell ref="WIE224:WIJ224"/>
    <mergeCell ref="WIK224:WIP224"/>
    <mergeCell ref="WIQ224:WIV224"/>
    <mergeCell ref="WIW224:WJB224"/>
    <mergeCell ref="WJC224:WJH224"/>
    <mergeCell ref="WFE224:WFJ224"/>
    <mergeCell ref="WFK224:WFP224"/>
    <mergeCell ref="WFQ224:WFV224"/>
    <mergeCell ref="WFW224:WGB224"/>
    <mergeCell ref="WGC224:WGH224"/>
    <mergeCell ref="WGI224:WGN224"/>
    <mergeCell ref="WGO224:WGT224"/>
    <mergeCell ref="WGU224:WGZ224"/>
    <mergeCell ref="WHA224:WHF224"/>
    <mergeCell ref="WDC224:WDH224"/>
    <mergeCell ref="WDI224:WDN224"/>
    <mergeCell ref="WDO224:WDT224"/>
    <mergeCell ref="WDU224:WDZ224"/>
    <mergeCell ref="WEA224:WEF224"/>
    <mergeCell ref="WEG224:WEL224"/>
    <mergeCell ref="WEM224:WER224"/>
    <mergeCell ref="WES224:WEX224"/>
    <mergeCell ref="WEY224:WFD224"/>
    <mergeCell ref="WBA224:WBF224"/>
    <mergeCell ref="WBG224:WBL224"/>
    <mergeCell ref="WBM224:WBR224"/>
    <mergeCell ref="WBS224:WBX224"/>
    <mergeCell ref="WBY224:WCD224"/>
    <mergeCell ref="WCE224:WCJ224"/>
    <mergeCell ref="WCK224:WCP224"/>
    <mergeCell ref="WCQ224:WCV224"/>
    <mergeCell ref="WCW224:WDB224"/>
    <mergeCell ref="VYY224:VZD224"/>
    <mergeCell ref="VZE224:VZJ224"/>
    <mergeCell ref="VZK224:VZP224"/>
    <mergeCell ref="VZQ224:VZV224"/>
    <mergeCell ref="VZW224:WAB224"/>
    <mergeCell ref="WAC224:WAH224"/>
    <mergeCell ref="WAI224:WAN224"/>
    <mergeCell ref="WAO224:WAT224"/>
    <mergeCell ref="WAU224:WAZ224"/>
    <mergeCell ref="VWW224:VXB224"/>
    <mergeCell ref="VXC224:VXH224"/>
    <mergeCell ref="VXI224:VXN224"/>
    <mergeCell ref="VXO224:VXT224"/>
    <mergeCell ref="VXU224:VXZ224"/>
    <mergeCell ref="VYA224:VYF224"/>
    <mergeCell ref="VYG224:VYL224"/>
    <mergeCell ref="VYM224:VYR224"/>
    <mergeCell ref="VYS224:VYX224"/>
    <mergeCell ref="VUU224:VUZ224"/>
    <mergeCell ref="VVA224:VVF224"/>
    <mergeCell ref="VVG224:VVL224"/>
    <mergeCell ref="VVM224:VVR224"/>
    <mergeCell ref="VVS224:VVX224"/>
    <mergeCell ref="VVY224:VWD224"/>
    <mergeCell ref="VWE224:VWJ224"/>
    <mergeCell ref="VWK224:VWP224"/>
    <mergeCell ref="VWQ224:VWV224"/>
    <mergeCell ref="VSS224:VSX224"/>
    <mergeCell ref="VSY224:VTD224"/>
    <mergeCell ref="VTE224:VTJ224"/>
    <mergeCell ref="VTK224:VTP224"/>
    <mergeCell ref="VTQ224:VTV224"/>
    <mergeCell ref="VTW224:VUB224"/>
    <mergeCell ref="VUC224:VUH224"/>
    <mergeCell ref="VUI224:VUN224"/>
    <mergeCell ref="VUO224:VUT224"/>
    <mergeCell ref="VQQ224:VQV224"/>
    <mergeCell ref="VQW224:VRB224"/>
    <mergeCell ref="VRC224:VRH224"/>
    <mergeCell ref="VRI224:VRN224"/>
    <mergeCell ref="VRO224:VRT224"/>
    <mergeCell ref="VRU224:VRZ224"/>
    <mergeCell ref="VSA224:VSF224"/>
    <mergeCell ref="VSG224:VSL224"/>
    <mergeCell ref="VSM224:VSR224"/>
    <mergeCell ref="VOO224:VOT224"/>
    <mergeCell ref="VOU224:VOZ224"/>
    <mergeCell ref="VPA224:VPF224"/>
    <mergeCell ref="VPG224:VPL224"/>
    <mergeCell ref="VPM224:VPR224"/>
    <mergeCell ref="VPS224:VPX224"/>
    <mergeCell ref="VPY224:VQD224"/>
    <mergeCell ref="VQE224:VQJ224"/>
    <mergeCell ref="VQK224:VQP224"/>
    <mergeCell ref="VMM224:VMR224"/>
    <mergeCell ref="VMS224:VMX224"/>
    <mergeCell ref="VMY224:VND224"/>
    <mergeCell ref="VNE224:VNJ224"/>
    <mergeCell ref="VNK224:VNP224"/>
    <mergeCell ref="VNQ224:VNV224"/>
    <mergeCell ref="VNW224:VOB224"/>
    <mergeCell ref="VOC224:VOH224"/>
    <mergeCell ref="VOI224:VON224"/>
    <mergeCell ref="VKK224:VKP224"/>
    <mergeCell ref="VKQ224:VKV224"/>
    <mergeCell ref="VKW224:VLB224"/>
    <mergeCell ref="VLC224:VLH224"/>
    <mergeCell ref="VLI224:VLN224"/>
    <mergeCell ref="VLO224:VLT224"/>
    <mergeCell ref="VLU224:VLZ224"/>
    <mergeCell ref="VMA224:VMF224"/>
    <mergeCell ref="VMG224:VML224"/>
    <mergeCell ref="VII224:VIN224"/>
    <mergeCell ref="VIO224:VIT224"/>
    <mergeCell ref="VIU224:VIZ224"/>
    <mergeCell ref="VJA224:VJF224"/>
    <mergeCell ref="VJG224:VJL224"/>
    <mergeCell ref="VJM224:VJR224"/>
    <mergeCell ref="VJS224:VJX224"/>
    <mergeCell ref="VJY224:VKD224"/>
    <mergeCell ref="VKE224:VKJ224"/>
    <mergeCell ref="VGG224:VGL224"/>
    <mergeCell ref="VGM224:VGR224"/>
    <mergeCell ref="VGS224:VGX224"/>
    <mergeCell ref="VGY224:VHD224"/>
    <mergeCell ref="VHE224:VHJ224"/>
    <mergeCell ref="VHK224:VHP224"/>
    <mergeCell ref="VHQ224:VHV224"/>
    <mergeCell ref="VHW224:VIB224"/>
    <mergeCell ref="VIC224:VIH224"/>
    <mergeCell ref="VEE224:VEJ224"/>
    <mergeCell ref="VEK224:VEP224"/>
    <mergeCell ref="VEQ224:VEV224"/>
    <mergeCell ref="VEW224:VFB224"/>
    <mergeCell ref="VFC224:VFH224"/>
    <mergeCell ref="VFI224:VFN224"/>
    <mergeCell ref="VFO224:VFT224"/>
    <mergeCell ref="VFU224:VFZ224"/>
    <mergeCell ref="VGA224:VGF224"/>
    <mergeCell ref="VCC224:VCH224"/>
    <mergeCell ref="VCI224:VCN224"/>
    <mergeCell ref="VCO224:VCT224"/>
    <mergeCell ref="VCU224:VCZ224"/>
    <mergeCell ref="VDA224:VDF224"/>
    <mergeCell ref="VDG224:VDL224"/>
    <mergeCell ref="VDM224:VDR224"/>
    <mergeCell ref="VDS224:VDX224"/>
    <mergeCell ref="VDY224:VED224"/>
    <mergeCell ref="VAA224:VAF224"/>
    <mergeCell ref="VAG224:VAL224"/>
    <mergeCell ref="VAM224:VAR224"/>
    <mergeCell ref="VAS224:VAX224"/>
    <mergeCell ref="VAY224:VBD224"/>
    <mergeCell ref="VBE224:VBJ224"/>
    <mergeCell ref="VBK224:VBP224"/>
    <mergeCell ref="VBQ224:VBV224"/>
    <mergeCell ref="VBW224:VCB224"/>
    <mergeCell ref="UXY224:UYD224"/>
    <mergeCell ref="UYE224:UYJ224"/>
    <mergeCell ref="UYK224:UYP224"/>
    <mergeCell ref="UYQ224:UYV224"/>
    <mergeCell ref="UYW224:UZB224"/>
    <mergeCell ref="UZC224:UZH224"/>
    <mergeCell ref="UZI224:UZN224"/>
    <mergeCell ref="UZO224:UZT224"/>
    <mergeCell ref="UZU224:UZZ224"/>
    <mergeCell ref="UVW224:UWB224"/>
    <mergeCell ref="UWC224:UWH224"/>
    <mergeCell ref="UWI224:UWN224"/>
    <mergeCell ref="UWO224:UWT224"/>
    <mergeCell ref="UWU224:UWZ224"/>
    <mergeCell ref="UXA224:UXF224"/>
    <mergeCell ref="UXG224:UXL224"/>
    <mergeCell ref="UXM224:UXR224"/>
    <mergeCell ref="UXS224:UXX224"/>
    <mergeCell ref="UTU224:UTZ224"/>
    <mergeCell ref="UUA224:UUF224"/>
    <mergeCell ref="UUG224:UUL224"/>
    <mergeCell ref="UUM224:UUR224"/>
    <mergeCell ref="UUS224:UUX224"/>
    <mergeCell ref="UUY224:UVD224"/>
    <mergeCell ref="UVE224:UVJ224"/>
    <mergeCell ref="UVK224:UVP224"/>
    <mergeCell ref="UVQ224:UVV224"/>
    <mergeCell ref="URS224:URX224"/>
    <mergeCell ref="URY224:USD224"/>
    <mergeCell ref="USE224:USJ224"/>
    <mergeCell ref="USK224:USP224"/>
    <mergeCell ref="USQ224:USV224"/>
    <mergeCell ref="USW224:UTB224"/>
    <mergeCell ref="UTC224:UTH224"/>
    <mergeCell ref="UTI224:UTN224"/>
    <mergeCell ref="UTO224:UTT224"/>
    <mergeCell ref="UPQ224:UPV224"/>
    <mergeCell ref="UPW224:UQB224"/>
    <mergeCell ref="UQC224:UQH224"/>
    <mergeCell ref="UQI224:UQN224"/>
    <mergeCell ref="UQO224:UQT224"/>
    <mergeCell ref="UQU224:UQZ224"/>
    <mergeCell ref="URA224:URF224"/>
    <mergeCell ref="URG224:URL224"/>
    <mergeCell ref="URM224:URR224"/>
    <mergeCell ref="UNO224:UNT224"/>
    <mergeCell ref="UNU224:UNZ224"/>
    <mergeCell ref="UOA224:UOF224"/>
    <mergeCell ref="UOG224:UOL224"/>
    <mergeCell ref="UOM224:UOR224"/>
    <mergeCell ref="UOS224:UOX224"/>
    <mergeCell ref="UOY224:UPD224"/>
    <mergeCell ref="UPE224:UPJ224"/>
    <mergeCell ref="UPK224:UPP224"/>
    <mergeCell ref="ULM224:ULR224"/>
    <mergeCell ref="ULS224:ULX224"/>
    <mergeCell ref="ULY224:UMD224"/>
    <mergeCell ref="UME224:UMJ224"/>
    <mergeCell ref="UMK224:UMP224"/>
    <mergeCell ref="UMQ224:UMV224"/>
    <mergeCell ref="UMW224:UNB224"/>
    <mergeCell ref="UNC224:UNH224"/>
    <mergeCell ref="UNI224:UNN224"/>
    <mergeCell ref="UJK224:UJP224"/>
    <mergeCell ref="UJQ224:UJV224"/>
    <mergeCell ref="UJW224:UKB224"/>
    <mergeCell ref="UKC224:UKH224"/>
    <mergeCell ref="UKI224:UKN224"/>
    <mergeCell ref="UKO224:UKT224"/>
    <mergeCell ref="UKU224:UKZ224"/>
    <mergeCell ref="ULA224:ULF224"/>
    <mergeCell ref="ULG224:ULL224"/>
    <mergeCell ref="UHI224:UHN224"/>
    <mergeCell ref="UHO224:UHT224"/>
    <mergeCell ref="UHU224:UHZ224"/>
    <mergeCell ref="UIA224:UIF224"/>
    <mergeCell ref="UIG224:UIL224"/>
    <mergeCell ref="UIM224:UIR224"/>
    <mergeCell ref="UIS224:UIX224"/>
    <mergeCell ref="UIY224:UJD224"/>
    <mergeCell ref="UJE224:UJJ224"/>
    <mergeCell ref="UFG224:UFL224"/>
    <mergeCell ref="UFM224:UFR224"/>
    <mergeCell ref="UFS224:UFX224"/>
    <mergeCell ref="UFY224:UGD224"/>
    <mergeCell ref="UGE224:UGJ224"/>
    <mergeCell ref="UGK224:UGP224"/>
    <mergeCell ref="UGQ224:UGV224"/>
    <mergeCell ref="UGW224:UHB224"/>
    <mergeCell ref="UHC224:UHH224"/>
    <mergeCell ref="UDE224:UDJ224"/>
    <mergeCell ref="UDK224:UDP224"/>
    <mergeCell ref="UDQ224:UDV224"/>
    <mergeCell ref="UDW224:UEB224"/>
    <mergeCell ref="UEC224:UEH224"/>
    <mergeCell ref="UEI224:UEN224"/>
    <mergeCell ref="UEO224:UET224"/>
    <mergeCell ref="UEU224:UEZ224"/>
    <mergeCell ref="UFA224:UFF224"/>
    <mergeCell ref="UBC224:UBH224"/>
    <mergeCell ref="UBI224:UBN224"/>
    <mergeCell ref="UBO224:UBT224"/>
    <mergeCell ref="UBU224:UBZ224"/>
    <mergeCell ref="UCA224:UCF224"/>
    <mergeCell ref="UCG224:UCL224"/>
    <mergeCell ref="UCM224:UCR224"/>
    <mergeCell ref="UCS224:UCX224"/>
    <mergeCell ref="UCY224:UDD224"/>
    <mergeCell ref="TZA224:TZF224"/>
    <mergeCell ref="TZG224:TZL224"/>
    <mergeCell ref="TZM224:TZR224"/>
    <mergeCell ref="TZS224:TZX224"/>
    <mergeCell ref="TZY224:UAD224"/>
    <mergeCell ref="UAE224:UAJ224"/>
    <mergeCell ref="UAK224:UAP224"/>
    <mergeCell ref="UAQ224:UAV224"/>
    <mergeCell ref="UAW224:UBB224"/>
    <mergeCell ref="TWY224:TXD224"/>
    <mergeCell ref="TXE224:TXJ224"/>
    <mergeCell ref="TXK224:TXP224"/>
    <mergeCell ref="TXQ224:TXV224"/>
    <mergeCell ref="TXW224:TYB224"/>
    <mergeCell ref="TYC224:TYH224"/>
    <mergeCell ref="TYI224:TYN224"/>
    <mergeCell ref="TYO224:TYT224"/>
    <mergeCell ref="TYU224:TYZ224"/>
    <mergeCell ref="TUW224:TVB224"/>
    <mergeCell ref="TVC224:TVH224"/>
    <mergeCell ref="TVI224:TVN224"/>
    <mergeCell ref="TVO224:TVT224"/>
    <mergeCell ref="TVU224:TVZ224"/>
    <mergeCell ref="TWA224:TWF224"/>
    <mergeCell ref="TWG224:TWL224"/>
    <mergeCell ref="TWM224:TWR224"/>
    <mergeCell ref="TWS224:TWX224"/>
    <mergeCell ref="TSU224:TSZ224"/>
    <mergeCell ref="TTA224:TTF224"/>
    <mergeCell ref="TTG224:TTL224"/>
    <mergeCell ref="TTM224:TTR224"/>
    <mergeCell ref="TTS224:TTX224"/>
    <mergeCell ref="TTY224:TUD224"/>
    <mergeCell ref="TUE224:TUJ224"/>
    <mergeCell ref="TUK224:TUP224"/>
    <mergeCell ref="TUQ224:TUV224"/>
    <mergeCell ref="TQS224:TQX224"/>
    <mergeCell ref="TQY224:TRD224"/>
    <mergeCell ref="TRE224:TRJ224"/>
    <mergeCell ref="TRK224:TRP224"/>
    <mergeCell ref="TRQ224:TRV224"/>
    <mergeCell ref="TRW224:TSB224"/>
    <mergeCell ref="TSC224:TSH224"/>
    <mergeCell ref="TSI224:TSN224"/>
    <mergeCell ref="TSO224:TST224"/>
    <mergeCell ref="TOQ224:TOV224"/>
    <mergeCell ref="TOW224:TPB224"/>
    <mergeCell ref="TPC224:TPH224"/>
    <mergeCell ref="TPI224:TPN224"/>
    <mergeCell ref="TPO224:TPT224"/>
    <mergeCell ref="TPU224:TPZ224"/>
    <mergeCell ref="TQA224:TQF224"/>
    <mergeCell ref="TQG224:TQL224"/>
    <mergeCell ref="TQM224:TQR224"/>
    <mergeCell ref="TMO224:TMT224"/>
    <mergeCell ref="TMU224:TMZ224"/>
    <mergeCell ref="TNA224:TNF224"/>
    <mergeCell ref="TNG224:TNL224"/>
    <mergeCell ref="TNM224:TNR224"/>
    <mergeCell ref="TNS224:TNX224"/>
    <mergeCell ref="TNY224:TOD224"/>
    <mergeCell ref="TOE224:TOJ224"/>
    <mergeCell ref="TOK224:TOP224"/>
    <mergeCell ref="TKM224:TKR224"/>
    <mergeCell ref="TKS224:TKX224"/>
    <mergeCell ref="TKY224:TLD224"/>
    <mergeCell ref="TLE224:TLJ224"/>
    <mergeCell ref="TLK224:TLP224"/>
    <mergeCell ref="TLQ224:TLV224"/>
    <mergeCell ref="TLW224:TMB224"/>
    <mergeCell ref="TMC224:TMH224"/>
    <mergeCell ref="TMI224:TMN224"/>
    <mergeCell ref="TIK224:TIP224"/>
    <mergeCell ref="TIQ224:TIV224"/>
    <mergeCell ref="TIW224:TJB224"/>
    <mergeCell ref="TJC224:TJH224"/>
    <mergeCell ref="TJI224:TJN224"/>
    <mergeCell ref="TJO224:TJT224"/>
    <mergeCell ref="TJU224:TJZ224"/>
    <mergeCell ref="TKA224:TKF224"/>
    <mergeCell ref="TKG224:TKL224"/>
    <mergeCell ref="TGI224:TGN224"/>
    <mergeCell ref="TGO224:TGT224"/>
    <mergeCell ref="TGU224:TGZ224"/>
    <mergeCell ref="THA224:THF224"/>
    <mergeCell ref="THG224:THL224"/>
    <mergeCell ref="THM224:THR224"/>
    <mergeCell ref="THS224:THX224"/>
    <mergeCell ref="THY224:TID224"/>
    <mergeCell ref="TIE224:TIJ224"/>
    <mergeCell ref="TEG224:TEL224"/>
    <mergeCell ref="TEM224:TER224"/>
    <mergeCell ref="TES224:TEX224"/>
    <mergeCell ref="TEY224:TFD224"/>
    <mergeCell ref="TFE224:TFJ224"/>
    <mergeCell ref="TFK224:TFP224"/>
    <mergeCell ref="TFQ224:TFV224"/>
    <mergeCell ref="TFW224:TGB224"/>
    <mergeCell ref="TGC224:TGH224"/>
    <mergeCell ref="TCE224:TCJ224"/>
    <mergeCell ref="TCK224:TCP224"/>
    <mergeCell ref="TCQ224:TCV224"/>
    <mergeCell ref="TCW224:TDB224"/>
    <mergeCell ref="TDC224:TDH224"/>
    <mergeCell ref="TDI224:TDN224"/>
    <mergeCell ref="TDO224:TDT224"/>
    <mergeCell ref="TDU224:TDZ224"/>
    <mergeCell ref="TEA224:TEF224"/>
    <mergeCell ref="TAC224:TAH224"/>
    <mergeCell ref="TAI224:TAN224"/>
    <mergeCell ref="TAO224:TAT224"/>
    <mergeCell ref="TAU224:TAZ224"/>
    <mergeCell ref="TBA224:TBF224"/>
    <mergeCell ref="TBG224:TBL224"/>
    <mergeCell ref="TBM224:TBR224"/>
    <mergeCell ref="TBS224:TBX224"/>
    <mergeCell ref="TBY224:TCD224"/>
    <mergeCell ref="SYA224:SYF224"/>
    <mergeCell ref="SYG224:SYL224"/>
    <mergeCell ref="SYM224:SYR224"/>
    <mergeCell ref="SYS224:SYX224"/>
    <mergeCell ref="SYY224:SZD224"/>
    <mergeCell ref="SZE224:SZJ224"/>
    <mergeCell ref="SZK224:SZP224"/>
    <mergeCell ref="SZQ224:SZV224"/>
    <mergeCell ref="SZW224:TAB224"/>
    <mergeCell ref="SVY224:SWD224"/>
    <mergeCell ref="SWE224:SWJ224"/>
    <mergeCell ref="SWK224:SWP224"/>
    <mergeCell ref="SWQ224:SWV224"/>
    <mergeCell ref="SWW224:SXB224"/>
    <mergeCell ref="SXC224:SXH224"/>
    <mergeCell ref="SXI224:SXN224"/>
    <mergeCell ref="SXO224:SXT224"/>
    <mergeCell ref="SXU224:SXZ224"/>
    <mergeCell ref="STW224:SUB224"/>
    <mergeCell ref="SUC224:SUH224"/>
    <mergeCell ref="SUI224:SUN224"/>
    <mergeCell ref="SUO224:SUT224"/>
    <mergeCell ref="SUU224:SUZ224"/>
    <mergeCell ref="SVA224:SVF224"/>
    <mergeCell ref="SVG224:SVL224"/>
    <mergeCell ref="SVM224:SVR224"/>
    <mergeCell ref="SVS224:SVX224"/>
    <mergeCell ref="SRU224:SRZ224"/>
    <mergeCell ref="SSA224:SSF224"/>
    <mergeCell ref="SSG224:SSL224"/>
    <mergeCell ref="SSM224:SSR224"/>
    <mergeCell ref="SSS224:SSX224"/>
    <mergeCell ref="SSY224:STD224"/>
    <mergeCell ref="STE224:STJ224"/>
    <mergeCell ref="STK224:STP224"/>
    <mergeCell ref="STQ224:STV224"/>
    <mergeCell ref="SPS224:SPX224"/>
    <mergeCell ref="SPY224:SQD224"/>
    <mergeCell ref="SQE224:SQJ224"/>
    <mergeCell ref="SQK224:SQP224"/>
    <mergeCell ref="SQQ224:SQV224"/>
    <mergeCell ref="SQW224:SRB224"/>
    <mergeCell ref="SRC224:SRH224"/>
    <mergeCell ref="SRI224:SRN224"/>
    <mergeCell ref="SRO224:SRT224"/>
    <mergeCell ref="SNQ224:SNV224"/>
    <mergeCell ref="SNW224:SOB224"/>
    <mergeCell ref="SOC224:SOH224"/>
    <mergeCell ref="SOI224:SON224"/>
    <mergeCell ref="SOO224:SOT224"/>
    <mergeCell ref="SOU224:SOZ224"/>
    <mergeCell ref="SPA224:SPF224"/>
    <mergeCell ref="SPG224:SPL224"/>
    <mergeCell ref="SPM224:SPR224"/>
    <mergeCell ref="SLO224:SLT224"/>
    <mergeCell ref="SLU224:SLZ224"/>
    <mergeCell ref="SMA224:SMF224"/>
    <mergeCell ref="SMG224:SML224"/>
    <mergeCell ref="SMM224:SMR224"/>
    <mergeCell ref="SMS224:SMX224"/>
    <mergeCell ref="SMY224:SND224"/>
    <mergeCell ref="SNE224:SNJ224"/>
    <mergeCell ref="SNK224:SNP224"/>
    <mergeCell ref="SJM224:SJR224"/>
    <mergeCell ref="SJS224:SJX224"/>
    <mergeCell ref="SJY224:SKD224"/>
    <mergeCell ref="SKE224:SKJ224"/>
    <mergeCell ref="SKK224:SKP224"/>
    <mergeCell ref="SKQ224:SKV224"/>
    <mergeCell ref="SKW224:SLB224"/>
    <mergeCell ref="SLC224:SLH224"/>
    <mergeCell ref="SLI224:SLN224"/>
    <mergeCell ref="SHK224:SHP224"/>
    <mergeCell ref="SHQ224:SHV224"/>
    <mergeCell ref="SHW224:SIB224"/>
    <mergeCell ref="SIC224:SIH224"/>
    <mergeCell ref="SII224:SIN224"/>
    <mergeCell ref="SIO224:SIT224"/>
    <mergeCell ref="SIU224:SIZ224"/>
    <mergeCell ref="SJA224:SJF224"/>
    <mergeCell ref="SJG224:SJL224"/>
    <mergeCell ref="SFI224:SFN224"/>
    <mergeCell ref="SFO224:SFT224"/>
    <mergeCell ref="SFU224:SFZ224"/>
    <mergeCell ref="SGA224:SGF224"/>
    <mergeCell ref="SGG224:SGL224"/>
    <mergeCell ref="SGM224:SGR224"/>
    <mergeCell ref="SGS224:SGX224"/>
    <mergeCell ref="SGY224:SHD224"/>
    <mergeCell ref="SHE224:SHJ224"/>
    <mergeCell ref="SDG224:SDL224"/>
    <mergeCell ref="SDM224:SDR224"/>
    <mergeCell ref="SDS224:SDX224"/>
    <mergeCell ref="SDY224:SED224"/>
    <mergeCell ref="SEE224:SEJ224"/>
    <mergeCell ref="SEK224:SEP224"/>
    <mergeCell ref="SEQ224:SEV224"/>
    <mergeCell ref="SEW224:SFB224"/>
    <mergeCell ref="SFC224:SFH224"/>
    <mergeCell ref="SBE224:SBJ224"/>
    <mergeCell ref="SBK224:SBP224"/>
    <mergeCell ref="SBQ224:SBV224"/>
    <mergeCell ref="SBW224:SCB224"/>
    <mergeCell ref="SCC224:SCH224"/>
    <mergeCell ref="SCI224:SCN224"/>
    <mergeCell ref="SCO224:SCT224"/>
    <mergeCell ref="SCU224:SCZ224"/>
    <mergeCell ref="SDA224:SDF224"/>
    <mergeCell ref="RZC224:RZH224"/>
    <mergeCell ref="RZI224:RZN224"/>
    <mergeCell ref="RZO224:RZT224"/>
    <mergeCell ref="RZU224:RZZ224"/>
    <mergeCell ref="SAA224:SAF224"/>
    <mergeCell ref="SAG224:SAL224"/>
    <mergeCell ref="SAM224:SAR224"/>
    <mergeCell ref="SAS224:SAX224"/>
    <mergeCell ref="SAY224:SBD224"/>
    <mergeCell ref="RXA224:RXF224"/>
    <mergeCell ref="RXG224:RXL224"/>
    <mergeCell ref="RXM224:RXR224"/>
    <mergeCell ref="RXS224:RXX224"/>
    <mergeCell ref="RXY224:RYD224"/>
    <mergeCell ref="RYE224:RYJ224"/>
    <mergeCell ref="RYK224:RYP224"/>
    <mergeCell ref="RYQ224:RYV224"/>
    <mergeCell ref="RYW224:RZB224"/>
    <mergeCell ref="RUY224:RVD224"/>
    <mergeCell ref="RVE224:RVJ224"/>
    <mergeCell ref="RVK224:RVP224"/>
    <mergeCell ref="RVQ224:RVV224"/>
    <mergeCell ref="RVW224:RWB224"/>
    <mergeCell ref="RWC224:RWH224"/>
    <mergeCell ref="RWI224:RWN224"/>
    <mergeCell ref="RWO224:RWT224"/>
    <mergeCell ref="RWU224:RWZ224"/>
    <mergeCell ref="RSW224:RTB224"/>
    <mergeCell ref="RTC224:RTH224"/>
    <mergeCell ref="RTI224:RTN224"/>
    <mergeCell ref="RTO224:RTT224"/>
    <mergeCell ref="RTU224:RTZ224"/>
    <mergeCell ref="RUA224:RUF224"/>
    <mergeCell ref="RUG224:RUL224"/>
    <mergeCell ref="RUM224:RUR224"/>
    <mergeCell ref="RUS224:RUX224"/>
    <mergeCell ref="RQU224:RQZ224"/>
    <mergeCell ref="RRA224:RRF224"/>
    <mergeCell ref="RRG224:RRL224"/>
    <mergeCell ref="RRM224:RRR224"/>
    <mergeCell ref="RRS224:RRX224"/>
    <mergeCell ref="RRY224:RSD224"/>
    <mergeCell ref="RSE224:RSJ224"/>
    <mergeCell ref="RSK224:RSP224"/>
    <mergeCell ref="RSQ224:RSV224"/>
    <mergeCell ref="ROS224:ROX224"/>
    <mergeCell ref="ROY224:RPD224"/>
    <mergeCell ref="RPE224:RPJ224"/>
    <mergeCell ref="RPK224:RPP224"/>
    <mergeCell ref="RPQ224:RPV224"/>
    <mergeCell ref="RPW224:RQB224"/>
    <mergeCell ref="RQC224:RQH224"/>
    <mergeCell ref="RQI224:RQN224"/>
    <mergeCell ref="RQO224:RQT224"/>
    <mergeCell ref="RMQ224:RMV224"/>
    <mergeCell ref="RMW224:RNB224"/>
    <mergeCell ref="RNC224:RNH224"/>
    <mergeCell ref="RNI224:RNN224"/>
    <mergeCell ref="RNO224:RNT224"/>
    <mergeCell ref="RNU224:RNZ224"/>
    <mergeCell ref="ROA224:ROF224"/>
    <mergeCell ref="ROG224:ROL224"/>
    <mergeCell ref="ROM224:ROR224"/>
    <mergeCell ref="RKO224:RKT224"/>
    <mergeCell ref="RKU224:RKZ224"/>
    <mergeCell ref="RLA224:RLF224"/>
    <mergeCell ref="RLG224:RLL224"/>
    <mergeCell ref="RLM224:RLR224"/>
    <mergeCell ref="RLS224:RLX224"/>
    <mergeCell ref="RLY224:RMD224"/>
    <mergeCell ref="RME224:RMJ224"/>
    <mergeCell ref="RMK224:RMP224"/>
    <mergeCell ref="RIM224:RIR224"/>
    <mergeCell ref="RIS224:RIX224"/>
    <mergeCell ref="RIY224:RJD224"/>
    <mergeCell ref="RJE224:RJJ224"/>
    <mergeCell ref="RJK224:RJP224"/>
    <mergeCell ref="RJQ224:RJV224"/>
    <mergeCell ref="RJW224:RKB224"/>
    <mergeCell ref="RKC224:RKH224"/>
    <mergeCell ref="RKI224:RKN224"/>
    <mergeCell ref="RGK224:RGP224"/>
    <mergeCell ref="RGQ224:RGV224"/>
    <mergeCell ref="RGW224:RHB224"/>
    <mergeCell ref="RHC224:RHH224"/>
    <mergeCell ref="RHI224:RHN224"/>
    <mergeCell ref="RHO224:RHT224"/>
    <mergeCell ref="RHU224:RHZ224"/>
    <mergeCell ref="RIA224:RIF224"/>
    <mergeCell ref="RIG224:RIL224"/>
    <mergeCell ref="REI224:REN224"/>
    <mergeCell ref="REO224:RET224"/>
    <mergeCell ref="REU224:REZ224"/>
    <mergeCell ref="RFA224:RFF224"/>
    <mergeCell ref="RFG224:RFL224"/>
    <mergeCell ref="RFM224:RFR224"/>
    <mergeCell ref="RFS224:RFX224"/>
    <mergeCell ref="RFY224:RGD224"/>
    <mergeCell ref="RGE224:RGJ224"/>
    <mergeCell ref="RCG224:RCL224"/>
    <mergeCell ref="RCM224:RCR224"/>
    <mergeCell ref="RCS224:RCX224"/>
    <mergeCell ref="RCY224:RDD224"/>
    <mergeCell ref="RDE224:RDJ224"/>
    <mergeCell ref="RDK224:RDP224"/>
    <mergeCell ref="RDQ224:RDV224"/>
    <mergeCell ref="RDW224:REB224"/>
    <mergeCell ref="REC224:REH224"/>
    <mergeCell ref="RAE224:RAJ224"/>
    <mergeCell ref="RAK224:RAP224"/>
    <mergeCell ref="RAQ224:RAV224"/>
    <mergeCell ref="RAW224:RBB224"/>
    <mergeCell ref="RBC224:RBH224"/>
    <mergeCell ref="RBI224:RBN224"/>
    <mergeCell ref="RBO224:RBT224"/>
    <mergeCell ref="RBU224:RBZ224"/>
    <mergeCell ref="RCA224:RCF224"/>
    <mergeCell ref="QYC224:QYH224"/>
    <mergeCell ref="QYI224:QYN224"/>
    <mergeCell ref="QYO224:QYT224"/>
    <mergeCell ref="QYU224:QYZ224"/>
    <mergeCell ref="QZA224:QZF224"/>
    <mergeCell ref="QZG224:QZL224"/>
    <mergeCell ref="QZM224:QZR224"/>
    <mergeCell ref="QZS224:QZX224"/>
    <mergeCell ref="QZY224:RAD224"/>
    <mergeCell ref="QWA224:QWF224"/>
    <mergeCell ref="QWG224:QWL224"/>
    <mergeCell ref="QWM224:QWR224"/>
    <mergeCell ref="QWS224:QWX224"/>
    <mergeCell ref="QWY224:QXD224"/>
    <mergeCell ref="QXE224:QXJ224"/>
    <mergeCell ref="QXK224:QXP224"/>
    <mergeCell ref="QXQ224:QXV224"/>
    <mergeCell ref="QXW224:QYB224"/>
    <mergeCell ref="QTY224:QUD224"/>
    <mergeCell ref="QUE224:QUJ224"/>
    <mergeCell ref="QUK224:QUP224"/>
    <mergeCell ref="QUQ224:QUV224"/>
    <mergeCell ref="QUW224:QVB224"/>
    <mergeCell ref="QVC224:QVH224"/>
    <mergeCell ref="QVI224:QVN224"/>
    <mergeCell ref="QVO224:QVT224"/>
    <mergeCell ref="QVU224:QVZ224"/>
    <mergeCell ref="QRW224:QSB224"/>
    <mergeCell ref="QSC224:QSH224"/>
    <mergeCell ref="QSI224:QSN224"/>
    <mergeCell ref="QSO224:QST224"/>
    <mergeCell ref="QSU224:QSZ224"/>
    <mergeCell ref="QTA224:QTF224"/>
    <mergeCell ref="QTG224:QTL224"/>
    <mergeCell ref="QTM224:QTR224"/>
    <mergeCell ref="QTS224:QTX224"/>
    <mergeCell ref="QPU224:QPZ224"/>
    <mergeCell ref="QQA224:QQF224"/>
    <mergeCell ref="QQG224:QQL224"/>
    <mergeCell ref="QQM224:QQR224"/>
    <mergeCell ref="QQS224:QQX224"/>
    <mergeCell ref="QQY224:QRD224"/>
    <mergeCell ref="QRE224:QRJ224"/>
    <mergeCell ref="QRK224:QRP224"/>
    <mergeCell ref="QRQ224:QRV224"/>
    <mergeCell ref="QNS224:QNX224"/>
    <mergeCell ref="QNY224:QOD224"/>
    <mergeCell ref="QOE224:QOJ224"/>
    <mergeCell ref="QOK224:QOP224"/>
    <mergeCell ref="QOQ224:QOV224"/>
    <mergeCell ref="QOW224:QPB224"/>
    <mergeCell ref="QPC224:QPH224"/>
    <mergeCell ref="QPI224:QPN224"/>
    <mergeCell ref="QPO224:QPT224"/>
    <mergeCell ref="QLQ224:QLV224"/>
    <mergeCell ref="QLW224:QMB224"/>
    <mergeCell ref="QMC224:QMH224"/>
    <mergeCell ref="QMI224:QMN224"/>
    <mergeCell ref="QMO224:QMT224"/>
    <mergeCell ref="QMU224:QMZ224"/>
    <mergeCell ref="QNA224:QNF224"/>
    <mergeCell ref="QNG224:QNL224"/>
    <mergeCell ref="QNM224:QNR224"/>
    <mergeCell ref="QJO224:QJT224"/>
    <mergeCell ref="QJU224:QJZ224"/>
    <mergeCell ref="QKA224:QKF224"/>
    <mergeCell ref="QKG224:QKL224"/>
    <mergeCell ref="QKM224:QKR224"/>
    <mergeCell ref="QKS224:QKX224"/>
    <mergeCell ref="QKY224:QLD224"/>
    <mergeCell ref="QLE224:QLJ224"/>
    <mergeCell ref="QLK224:QLP224"/>
    <mergeCell ref="QHM224:QHR224"/>
    <mergeCell ref="QHS224:QHX224"/>
    <mergeCell ref="QHY224:QID224"/>
    <mergeCell ref="QIE224:QIJ224"/>
    <mergeCell ref="QIK224:QIP224"/>
    <mergeCell ref="QIQ224:QIV224"/>
    <mergeCell ref="QIW224:QJB224"/>
    <mergeCell ref="QJC224:QJH224"/>
    <mergeCell ref="QJI224:QJN224"/>
    <mergeCell ref="QFK224:QFP224"/>
    <mergeCell ref="QFQ224:QFV224"/>
    <mergeCell ref="QFW224:QGB224"/>
    <mergeCell ref="QGC224:QGH224"/>
    <mergeCell ref="QGI224:QGN224"/>
    <mergeCell ref="QGO224:QGT224"/>
    <mergeCell ref="QGU224:QGZ224"/>
    <mergeCell ref="QHA224:QHF224"/>
    <mergeCell ref="QHG224:QHL224"/>
    <mergeCell ref="QDI224:QDN224"/>
    <mergeCell ref="QDO224:QDT224"/>
    <mergeCell ref="QDU224:QDZ224"/>
    <mergeCell ref="QEA224:QEF224"/>
    <mergeCell ref="QEG224:QEL224"/>
    <mergeCell ref="QEM224:QER224"/>
    <mergeCell ref="QES224:QEX224"/>
    <mergeCell ref="QEY224:QFD224"/>
    <mergeCell ref="QFE224:QFJ224"/>
    <mergeCell ref="QBG224:QBL224"/>
    <mergeCell ref="QBM224:QBR224"/>
    <mergeCell ref="QBS224:QBX224"/>
    <mergeCell ref="QBY224:QCD224"/>
    <mergeCell ref="QCE224:QCJ224"/>
    <mergeCell ref="QCK224:QCP224"/>
    <mergeCell ref="QCQ224:QCV224"/>
    <mergeCell ref="QCW224:QDB224"/>
    <mergeCell ref="QDC224:QDH224"/>
    <mergeCell ref="PZE224:PZJ224"/>
    <mergeCell ref="PZK224:PZP224"/>
    <mergeCell ref="PZQ224:PZV224"/>
    <mergeCell ref="PZW224:QAB224"/>
    <mergeCell ref="QAC224:QAH224"/>
    <mergeCell ref="QAI224:QAN224"/>
    <mergeCell ref="QAO224:QAT224"/>
    <mergeCell ref="QAU224:QAZ224"/>
    <mergeCell ref="QBA224:QBF224"/>
    <mergeCell ref="PXC224:PXH224"/>
    <mergeCell ref="PXI224:PXN224"/>
    <mergeCell ref="PXO224:PXT224"/>
    <mergeCell ref="PXU224:PXZ224"/>
    <mergeCell ref="PYA224:PYF224"/>
    <mergeCell ref="PYG224:PYL224"/>
    <mergeCell ref="PYM224:PYR224"/>
    <mergeCell ref="PYS224:PYX224"/>
    <mergeCell ref="PYY224:PZD224"/>
    <mergeCell ref="PVA224:PVF224"/>
    <mergeCell ref="PVG224:PVL224"/>
    <mergeCell ref="PVM224:PVR224"/>
    <mergeCell ref="PVS224:PVX224"/>
    <mergeCell ref="PVY224:PWD224"/>
    <mergeCell ref="PWE224:PWJ224"/>
    <mergeCell ref="PWK224:PWP224"/>
    <mergeCell ref="PWQ224:PWV224"/>
    <mergeCell ref="PWW224:PXB224"/>
    <mergeCell ref="PSY224:PTD224"/>
    <mergeCell ref="PTE224:PTJ224"/>
    <mergeCell ref="PTK224:PTP224"/>
    <mergeCell ref="PTQ224:PTV224"/>
    <mergeCell ref="PTW224:PUB224"/>
    <mergeCell ref="PUC224:PUH224"/>
    <mergeCell ref="PUI224:PUN224"/>
    <mergeCell ref="PUO224:PUT224"/>
    <mergeCell ref="PUU224:PUZ224"/>
    <mergeCell ref="PQW224:PRB224"/>
    <mergeCell ref="PRC224:PRH224"/>
    <mergeCell ref="PRI224:PRN224"/>
    <mergeCell ref="PRO224:PRT224"/>
    <mergeCell ref="PRU224:PRZ224"/>
    <mergeCell ref="PSA224:PSF224"/>
    <mergeCell ref="PSG224:PSL224"/>
    <mergeCell ref="PSM224:PSR224"/>
    <mergeCell ref="PSS224:PSX224"/>
    <mergeCell ref="POU224:POZ224"/>
    <mergeCell ref="PPA224:PPF224"/>
    <mergeCell ref="PPG224:PPL224"/>
    <mergeCell ref="PPM224:PPR224"/>
    <mergeCell ref="PPS224:PPX224"/>
    <mergeCell ref="PPY224:PQD224"/>
    <mergeCell ref="PQE224:PQJ224"/>
    <mergeCell ref="PQK224:PQP224"/>
    <mergeCell ref="PQQ224:PQV224"/>
    <mergeCell ref="PMS224:PMX224"/>
    <mergeCell ref="PMY224:PND224"/>
    <mergeCell ref="PNE224:PNJ224"/>
    <mergeCell ref="PNK224:PNP224"/>
    <mergeCell ref="PNQ224:PNV224"/>
    <mergeCell ref="PNW224:POB224"/>
    <mergeCell ref="POC224:POH224"/>
    <mergeCell ref="POI224:PON224"/>
    <mergeCell ref="POO224:POT224"/>
    <mergeCell ref="PKQ224:PKV224"/>
    <mergeCell ref="PKW224:PLB224"/>
    <mergeCell ref="PLC224:PLH224"/>
    <mergeCell ref="PLI224:PLN224"/>
    <mergeCell ref="PLO224:PLT224"/>
    <mergeCell ref="PLU224:PLZ224"/>
    <mergeCell ref="PMA224:PMF224"/>
    <mergeCell ref="PMG224:PML224"/>
    <mergeCell ref="PMM224:PMR224"/>
    <mergeCell ref="PIO224:PIT224"/>
    <mergeCell ref="PIU224:PIZ224"/>
    <mergeCell ref="PJA224:PJF224"/>
    <mergeCell ref="PJG224:PJL224"/>
    <mergeCell ref="PJM224:PJR224"/>
    <mergeCell ref="PJS224:PJX224"/>
    <mergeCell ref="PJY224:PKD224"/>
    <mergeCell ref="PKE224:PKJ224"/>
    <mergeCell ref="PKK224:PKP224"/>
    <mergeCell ref="PGM224:PGR224"/>
    <mergeCell ref="PGS224:PGX224"/>
    <mergeCell ref="PGY224:PHD224"/>
    <mergeCell ref="PHE224:PHJ224"/>
    <mergeCell ref="PHK224:PHP224"/>
    <mergeCell ref="PHQ224:PHV224"/>
    <mergeCell ref="PHW224:PIB224"/>
    <mergeCell ref="PIC224:PIH224"/>
    <mergeCell ref="PII224:PIN224"/>
    <mergeCell ref="PEK224:PEP224"/>
    <mergeCell ref="PEQ224:PEV224"/>
    <mergeCell ref="PEW224:PFB224"/>
    <mergeCell ref="PFC224:PFH224"/>
    <mergeCell ref="PFI224:PFN224"/>
    <mergeCell ref="PFO224:PFT224"/>
    <mergeCell ref="PFU224:PFZ224"/>
    <mergeCell ref="PGA224:PGF224"/>
    <mergeCell ref="PGG224:PGL224"/>
    <mergeCell ref="PCI224:PCN224"/>
    <mergeCell ref="PCO224:PCT224"/>
    <mergeCell ref="PCU224:PCZ224"/>
    <mergeCell ref="PDA224:PDF224"/>
    <mergeCell ref="PDG224:PDL224"/>
    <mergeCell ref="PDM224:PDR224"/>
    <mergeCell ref="PDS224:PDX224"/>
    <mergeCell ref="PDY224:PED224"/>
    <mergeCell ref="PEE224:PEJ224"/>
    <mergeCell ref="PAG224:PAL224"/>
    <mergeCell ref="PAM224:PAR224"/>
    <mergeCell ref="PAS224:PAX224"/>
    <mergeCell ref="PAY224:PBD224"/>
    <mergeCell ref="PBE224:PBJ224"/>
    <mergeCell ref="PBK224:PBP224"/>
    <mergeCell ref="PBQ224:PBV224"/>
    <mergeCell ref="PBW224:PCB224"/>
    <mergeCell ref="PCC224:PCH224"/>
    <mergeCell ref="OYE224:OYJ224"/>
    <mergeCell ref="OYK224:OYP224"/>
    <mergeCell ref="OYQ224:OYV224"/>
    <mergeCell ref="OYW224:OZB224"/>
    <mergeCell ref="OZC224:OZH224"/>
    <mergeCell ref="OZI224:OZN224"/>
    <mergeCell ref="OZO224:OZT224"/>
    <mergeCell ref="OZU224:OZZ224"/>
    <mergeCell ref="PAA224:PAF224"/>
    <mergeCell ref="OWC224:OWH224"/>
    <mergeCell ref="OWI224:OWN224"/>
    <mergeCell ref="OWO224:OWT224"/>
    <mergeCell ref="OWU224:OWZ224"/>
    <mergeCell ref="OXA224:OXF224"/>
    <mergeCell ref="OXG224:OXL224"/>
    <mergeCell ref="OXM224:OXR224"/>
    <mergeCell ref="OXS224:OXX224"/>
    <mergeCell ref="OXY224:OYD224"/>
    <mergeCell ref="OUA224:OUF224"/>
    <mergeCell ref="OUG224:OUL224"/>
    <mergeCell ref="OUM224:OUR224"/>
    <mergeCell ref="OUS224:OUX224"/>
    <mergeCell ref="OUY224:OVD224"/>
    <mergeCell ref="OVE224:OVJ224"/>
    <mergeCell ref="OVK224:OVP224"/>
    <mergeCell ref="OVQ224:OVV224"/>
    <mergeCell ref="OVW224:OWB224"/>
    <mergeCell ref="ORY224:OSD224"/>
    <mergeCell ref="OSE224:OSJ224"/>
    <mergeCell ref="OSK224:OSP224"/>
    <mergeCell ref="OSQ224:OSV224"/>
    <mergeCell ref="OSW224:OTB224"/>
    <mergeCell ref="OTC224:OTH224"/>
    <mergeCell ref="OTI224:OTN224"/>
    <mergeCell ref="OTO224:OTT224"/>
    <mergeCell ref="OTU224:OTZ224"/>
    <mergeCell ref="OPW224:OQB224"/>
    <mergeCell ref="OQC224:OQH224"/>
    <mergeCell ref="OQI224:OQN224"/>
    <mergeCell ref="OQO224:OQT224"/>
    <mergeCell ref="OQU224:OQZ224"/>
    <mergeCell ref="ORA224:ORF224"/>
    <mergeCell ref="ORG224:ORL224"/>
    <mergeCell ref="ORM224:ORR224"/>
    <mergeCell ref="ORS224:ORX224"/>
    <mergeCell ref="ONU224:ONZ224"/>
    <mergeCell ref="OOA224:OOF224"/>
    <mergeCell ref="OOG224:OOL224"/>
    <mergeCell ref="OOM224:OOR224"/>
    <mergeCell ref="OOS224:OOX224"/>
    <mergeCell ref="OOY224:OPD224"/>
    <mergeCell ref="OPE224:OPJ224"/>
    <mergeCell ref="OPK224:OPP224"/>
    <mergeCell ref="OPQ224:OPV224"/>
    <mergeCell ref="OLS224:OLX224"/>
    <mergeCell ref="OLY224:OMD224"/>
    <mergeCell ref="OME224:OMJ224"/>
    <mergeCell ref="OMK224:OMP224"/>
    <mergeCell ref="OMQ224:OMV224"/>
    <mergeCell ref="OMW224:ONB224"/>
    <mergeCell ref="ONC224:ONH224"/>
    <mergeCell ref="ONI224:ONN224"/>
    <mergeCell ref="ONO224:ONT224"/>
    <mergeCell ref="OJQ224:OJV224"/>
    <mergeCell ref="OJW224:OKB224"/>
    <mergeCell ref="OKC224:OKH224"/>
    <mergeCell ref="OKI224:OKN224"/>
    <mergeCell ref="OKO224:OKT224"/>
    <mergeCell ref="OKU224:OKZ224"/>
    <mergeCell ref="OLA224:OLF224"/>
    <mergeCell ref="OLG224:OLL224"/>
    <mergeCell ref="OLM224:OLR224"/>
    <mergeCell ref="OHO224:OHT224"/>
    <mergeCell ref="OHU224:OHZ224"/>
    <mergeCell ref="OIA224:OIF224"/>
    <mergeCell ref="OIG224:OIL224"/>
    <mergeCell ref="OIM224:OIR224"/>
    <mergeCell ref="OIS224:OIX224"/>
    <mergeCell ref="OIY224:OJD224"/>
    <mergeCell ref="OJE224:OJJ224"/>
    <mergeCell ref="OJK224:OJP224"/>
    <mergeCell ref="OFM224:OFR224"/>
    <mergeCell ref="OFS224:OFX224"/>
    <mergeCell ref="OFY224:OGD224"/>
    <mergeCell ref="OGE224:OGJ224"/>
    <mergeCell ref="OGK224:OGP224"/>
    <mergeCell ref="OGQ224:OGV224"/>
    <mergeCell ref="OGW224:OHB224"/>
    <mergeCell ref="OHC224:OHH224"/>
    <mergeCell ref="OHI224:OHN224"/>
    <mergeCell ref="ODK224:ODP224"/>
    <mergeCell ref="ODQ224:ODV224"/>
    <mergeCell ref="ODW224:OEB224"/>
    <mergeCell ref="OEC224:OEH224"/>
    <mergeCell ref="OEI224:OEN224"/>
    <mergeCell ref="OEO224:OET224"/>
    <mergeCell ref="OEU224:OEZ224"/>
    <mergeCell ref="OFA224:OFF224"/>
    <mergeCell ref="OFG224:OFL224"/>
    <mergeCell ref="OBI224:OBN224"/>
    <mergeCell ref="OBO224:OBT224"/>
    <mergeCell ref="OBU224:OBZ224"/>
    <mergeCell ref="OCA224:OCF224"/>
    <mergeCell ref="OCG224:OCL224"/>
    <mergeCell ref="OCM224:OCR224"/>
    <mergeCell ref="OCS224:OCX224"/>
    <mergeCell ref="OCY224:ODD224"/>
    <mergeCell ref="ODE224:ODJ224"/>
    <mergeCell ref="NZG224:NZL224"/>
    <mergeCell ref="NZM224:NZR224"/>
    <mergeCell ref="NZS224:NZX224"/>
    <mergeCell ref="NZY224:OAD224"/>
    <mergeCell ref="OAE224:OAJ224"/>
    <mergeCell ref="OAK224:OAP224"/>
    <mergeCell ref="OAQ224:OAV224"/>
    <mergeCell ref="OAW224:OBB224"/>
    <mergeCell ref="OBC224:OBH224"/>
    <mergeCell ref="NXE224:NXJ224"/>
    <mergeCell ref="NXK224:NXP224"/>
    <mergeCell ref="NXQ224:NXV224"/>
    <mergeCell ref="NXW224:NYB224"/>
    <mergeCell ref="NYC224:NYH224"/>
    <mergeCell ref="NYI224:NYN224"/>
    <mergeCell ref="NYO224:NYT224"/>
    <mergeCell ref="NYU224:NYZ224"/>
    <mergeCell ref="NZA224:NZF224"/>
    <mergeCell ref="NVC224:NVH224"/>
    <mergeCell ref="NVI224:NVN224"/>
    <mergeCell ref="NVO224:NVT224"/>
    <mergeCell ref="NVU224:NVZ224"/>
    <mergeCell ref="NWA224:NWF224"/>
    <mergeCell ref="NWG224:NWL224"/>
    <mergeCell ref="NWM224:NWR224"/>
    <mergeCell ref="NWS224:NWX224"/>
    <mergeCell ref="NWY224:NXD224"/>
    <mergeCell ref="NTA224:NTF224"/>
    <mergeCell ref="NTG224:NTL224"/>
    <mergeCell ref="NTM224:NTR224"/>
    <mergeCell ref="NTS224:NTX224"/>
    <mergeCell ref="NTY224:NUD224"/>
    <mergeCell ref="NUE224:NUJ224"/>
    <mergeCell ref="NUK224:NUP224"/>
    <mergeCell ref="NUQ224:NUV224"/>
    <mergeCell ref="NUW224:NVB224"/>
    <mergeCell ref="NQY224:NRD224"/>
    <mergeCell ref="NRE224:NRJ224"/>
    <mergeCell ref="NRK224:NRP224"/>
    <mergeCell ref="NRQ224:NRV224"/>
    <mergeCell ref="NRW224:NSB224"/>
    <mergeCell ref="NSC224:NSH224"/>
    <mergeCell ref="NSI224:NSN224"/>
    <mergeCell ref="NSO224:NST224"/>
    <mergeCell ref="NSU224:NSZ224"/>
    <mergeCell ref="NOW224:NPB224"/>
    <mergeCell ref="NPC224:NPH224"/>
    <mergeCell ref="NPI224:NPN224"/>
    <mergeCell ref="NPO224:NPT224"/>
    <mergeCell ref="NPU224:NPZ224"/>
    <mergeCell ref="NQA224:NQF224"/>
    <mergeCell ref="NQG224:NQL224"/>
    <mergeCell ref="NQM224:NQR224"/>
    <mergeCell ref="NQS224:NQX224"/>
    <mergeCell ref="NMU224:NMZ224"/>
    <mergeCell ref="NNA224:NNF224"/>
    <mergeCell ref="NNG224:NNL224"/>
    <mergeCell ref="NNM224:NNR224"/>
    <mergeCell ref="NNS224:NNX224"/>
    <mergeCell ref="NNY224:NOD224"/>
    <mergeCell ref="NOE224:NOJ224"/>
    <mergeCell ref="NOK224:NOP224"/>
    <mergeCell ref="NOQ224:NOV224"/>
    <mergeCell ref="NKS224:NKX224"/>
    <mergeCell ref="NKY224:NLD224"/>
    <mergeCell ref="NLE224:NLJ224"/>
    <mergeCell ref="NLK224:NLP224"/>
    <mergeCell ref="NLQ224:NLV224"/>
    <mergeCell ref="NLW224:NMB224"/>
    <mergeCell ref="NMC224:NMH224"/>
    <mergeCell ref="NMI224:NMN224"/>
    <mergeCell ref="NMO224:NMT224"/>
    <mergeCell ref="NIQ224:NIV224"/>
    <mergeCell ref="NIW224:NJB224"/>
    <mergeCell ref="NJC224:NJH224"/>
    <mergeCell ref="NJI224:NJN224"/>
    <mergeCell ref="NJO224:NJT224"/>
    <mergeCell ref="NJU224:NJZ224"/>
    <mergeCell ref="NKA224:NKF224"/>
    <mergeCell ref="NKG224:NKL224"/>
    <mergeCell ref="NKM224:NKR224"/>
    <mergeCell ref="NGO224:NGT224"/>
    <mergeCell ref="NGU224:NGZ224"/>
    <mergeCell ref="NHA224:NHF224"/>
    <mergeCell ref="NHG224:NHL224"/>
    <mergeCell ref="NHM224:NHR224"/>
    <mergeCell ref="NHS224:NHX224"/>
    <mergeCell ref="NHY224:NID224"/>
    <mergeCell ref="NIE224:NIJ224"/>
    <mergeCell ref="NIK224:NIP224"/>
    <mergeCell ref="NEM224:NER224"/>
    <mergeCell ref="NES224:NEX224"/>
    <mergeCell ref="NEY224:NFD224"/>
    <mergeCell ref="NFE224:NFJ224"/>
    <mergeCell ref="NFK224:NFP224"/>
    <mergeCell ref="NFQ224:NFV224"/>
    <mergeCell ref="NFW224:NGB224"/>
    <mergeCell ref="NGC224:NGH224"/>
    <mergeCell ref="NGI224:NGN224"/>
    <mergeCell ref="NCK224:NCP224"/>
    <mergeCell ref="NCQ224:NCV224"/>
    <mergeCell ref="NCW224:NDB224"/>
    <mergeCell ref="NDC224:NDH224"/>
    <mergeCell ref="NDI224:NDN224"/>
    <mergeCell ref="NDO224:NDT224"/>
    <mergeCell ref="NDU224:NDZ224"/>
    <mergeCell ref="NEA224:NEF224"/>
    <mergeCell ref="NEG224:NEL224"/>
    <mergeCell ref="NAI224:NAN224"/>
    <mergeCell ref="NAO224:NAT224"/>
    <mergeCell ref="NAU224:NAZ224"/>
    <mergeCell ref="NBA224:NBF224"/>
    <mergeCell ref="NBG224:NBL224"/>
    <mergeCell ref="NBM224:NBR224"/>
    <mergeCell ref="NBS224:NBX224"/>
    <mergeCell ref="NBY224:NCD224"/>
    <mergeCell ref="NCE224:NCJ224"/>
    <mergeCell ref="MYG224:MYL224"/>
    <mergeCell ref="MYM224:MYR224"/>
    <mergeCell ref="MYS224:MYX224"/>
    <mergeCell ref="MYY224:MZD224"/>
    <mergeCell ref="MZE224:MZJ224"/>
    <mergeCell ref="MZK224:MZP224"/>
    <mergeCell ref="MZQ224:MZV224"/>
    <mergeCell ref="MZW224:NAB224"/>
    <mergeCell ref="NAC224:NAH224"/>
    <mergeCell ref="MWE224:MWJ224"/>
    <mergeCell ref="MWK224:MWP224"/>
    <mergeCell ref="MWQ224:MWV224"/>
    <mergeCell ref="MWW224:MXB224"/>
    <mergeCell ref="MXC224:MXH224"/>
    <mergeCell ref="MXI224:MXN224"/>
    <mergeCell ref="MXO224:MXT224"/>
    <mergeCell ref="MXU224:MXZ224"/>
    <mergeCell ref="MYA224:MYF224"/>
    <mergeCell ref="MUC224:MUH224"/>
    <mergeCell ref="MUI224:MUN224"/>
    <mergeCell ref="MUO224:MUT224"/>
    <mergeCell ref="MUU224:MUZ224"/>
    <mergeCell ref="MVA224:MVF224"/>
    <mergeCell ref="MVG224:MVL224"/>
    <mergeCell ref="MVM224:MVR224"/>
    <mergeCell ref="MVS224:MVX224"/>
    <mergeCell ref="MVY224:MWD224"/>
    <mergeCell ref="MSA224:MSF224"/>
    <mergeCell ref="MSG224:MSL224"/>
    <mergeCell ref="MSM224:MSR224"/>
    <mergeCell ref="MSS224:MSX224"/>
    <mergeCell ref="MSY224:MTD224"/>
    <mergeCell ref="MTE224:MTJ224"/>
    <mergeCell ref="MTK224:MTP224"/>
    <mergeCell ref="MTQ224:MTV224"/>
    <mergeCell ref="MTW224:MUB224"/>
    <mergeCell ref="MPY224:MQD224"/>
    <mergeCell ref="MQE224:MQJ224"/>
    <mergeCell ref="MQK224:MQP224"/>
    <mergeCell ref="MQQ224:MQV224"/>
    <mergeCell ref="MQW224:MRB224"/>
    <mergeCell ref="MRC224:MRH224"/>
    <mergeCell ref="MRI224:MRN224"/>
    <mergeCell ref="MRO224:MRT224"/>
    <mergeCell ref="MRU224:MRZ224"/>
    <mergeCell ref="MNW224:MOB224"/>
    <mergeCell ref="MOC224:MOH224"/>
    <mergeCell ref="MOI224:MON224"/>
    <mergeCell ref="MOO224:MOT224"/>
    <mergeCell ref="MOU224:MOZ224"/>
    <mergeCell ref="MPA224:MPF224"/>
    <mergeCell ref="MPG224:MPL224"/>
    <mergeCell ref="MPM224:MPR224"/>
    <mergeCell ref="MPS224:MPX224"/>
    <mergeCell ref="MLU224:MLZ224"/>
    <mergeCell ref="MMA224:MMF224"/>
    <mergeCell ref="MMG224:MML224"/>
    <mergeCell ref="MMM224:MMR224"/>
    <mergeCell ref="MMS224:MMX224"/>
    <mergeCell ref="MMY224:MND224"/>
    <mergeCell ref="MNE224:MNJ224"/>
    <mergeCell ref="MNK224:MNP224"/>
    <mergeCell ref="MNQ224:MNV224"/>
    <mergeCell ref="MJS224:MJX224"/>
    <mergeCell ref="MJY224:MKD224"/>
    <mergeCell ref="MKE224:MKJ224"/>
    <mergeCell ref="MKK224:MKP224"/>
    <mergeCell ref="MKQ224:MKV224"/>
    <mergeCell ref="MKW224:MLB224"/>
    <mergeCell ref="MLC224:MLH224"/>
    <mergeCell ref="MLI224:MLN224"/>
    <mergeCell ref="MLO224:MLT224"/>
    <mergeCell ref="MHQ224:MHV224"/>
    <mergeCell ref="MHW224:MIB224"/>
    <mergeCell ref="MIC224:MIH224"/>
    <mergeCell ref="MII224:MIN224"/>
    <mergeCell ref="MIO224:MIT224"/>
    <mergeCell ref="MIU224:MIZ224"/>
    <mergeCell ref="MJA224:MJF224"/>
    <mergeCell ref="MJG224:MJL224"/>
    <mergeCell ref="MJM224:MJR224"/>
    <mergeCell ref="MFO224:MFT224"/>
    <mergeCell ref="MFU224:MFZ224"/>
    <mergeCell ref="MGA224:MGF224"/>
    <mergeCell ref="MGG224:MGL224"/>
    <mergeCell ref="MGM224:MGR224"/>
    <mergeCell ref="MGS224:MGX224"/>
    <mergeCell ref="MGY224:MHD224"/>
    <mergeCell ref="MHE224:MHJ224"/>
    <mergeCell ref="MHK224:MHP224"/>
    <mergeCell ref="MDM224:MDR224"/>
    <mergeCell ref="MDS224:MDX224"/>
    <mergeCell ref="MDY224:MED224"/>
    <mergeCell ref="MEE224:MEJ224"/>
    <mergeCell ref="MEK224:MEP224"/>
    <mergeCell ref="MEQ224:MEV224"/>
    <mergeCell ref="MEW224:MFB224"/>
    <mergeCell ref="MFC224:MFH224"/>
    <mergeCell ref="MFI224:MFN224"/>
    <mergeCell ref="MBK224:MBP224"/>
    <mergeCell ref="MBQ224:MBV224"/>
    <mergeCell ref="MBW224:MCB224"/>
    <mergeCell ref="MCC224:MCH224"/>
    <mergeCell ref="MCI224:MCN224"/>
    <mergeCell ref="MCO224:MCT224"/>
    <mergeCell ref="MCU224:MCZ224"/>
    <mergeCell ref="MDA224:MDF224"/>
    <mergeCell ref="MDG224:MDL224"/>
    <mergeCell ref="LZI224:LZN224"/>
    <mergeCell ref="LZO224:LZT224"/>
    <mergeCell ref="LZU224:LZZ224"/>
    <mergeCell ref="MAA224:MAF224"/>
    <mergeCell ref="MAG224:MAL224"/>
    <mergeCell ref="MAM224:MAR224"/>
    <mergeCell ref="MAS224:MAX224"/>
    <mergeCell ref="MAY224:MBD224"/>
    <mergeCell ref="MBE224:MBJ224"/>
    <mergeCell ref="LXG224:LXL224"/>
    <mergeCell ref="LXM224:LXR224"/>
    <mergeCell ref="LXS224:LXX224"/>
    <mergeCell ref="LXY224:LYD224"/>
    <mergeCell ref="LYE224:LYJ224"/>
    <mergeCell ref="LYK224:LYP224"/>
    <mergeCell ref="LYQ224:LYV224"/>
    <mergeCell ref="LYW224:LZB224"/>
    <mergeCell ref="LZC224:LZH224"/>
    <mergeCell ref="LVE224:LVJ224"/>
    <mergeCell ref="LVK224:LVP224"/>
    <mergeCell ref="LVQ224:LVV224"/>
    <mergeCell ref="LVW224:LWB224"/>
    <mergeCell ref="LWC224:LWH224"/>
    <mergeCell ref="LWI224:LWN224"/>
    <mergeCell ref="LWO224:LWT224"/>
    <mergeCell ref="LWU224:LWZ224"/>
    <mergeCell ref="LXA224:LXF224"/>
    <mergeCell ref="LTC224:LTH224"/>
    <mergeCell ref="LTI224:LTN224"/>
    <mergeCell ref="LTO224:LTT224"/>
    <mergeCell ref="LTU224:LTZ224"/>
    <mergeCell ref="LUA224:LUF224"/>
    <mergeCell ref="LUG224:LUL224"/>
    <mergeCell ref="LUM224:LUR224"/>
    <mergeCell ref="LUS224:LUX224"/>
    <mergeCell ref="LUY224:LVD224"/>
    <mergeCell ref="LRA224:LRF224"/>
    <mergeCell ref="LRG224:LRL224"/>
    <mergeCell ref="LRM224:LRR224"/>
    <mergeCell ref="LRS224:LRX224"/>
    <mergeCell ref="LRY224:LSD224"/>
    <mergeCell ref="LSE224:LSJ224"/>
    <mergeCell ref="LSK224:LSP224"/>
    <mergeCell ref="LSQ224:LSV224"/>
    <mergeCell ref="LSW224:LTB224"/>
    <mergeCell ref="LOY224:LPD224"/>
    <mergeCell ref="LPE224:LPJ224"/>
    <mergeCell ref="LPK224:LPP224"/>
    <mergeCell ref="LPQ224:LPV224"/>
    <mergeCell ref="LPW224:LQB224"/>
    <mergeCell ref="LQC224:LQH224"/>
    <mergeCell ref="LQI224:LQN224"/>
    <mergeCell ref="LQO224:LQT224"/>
    <mergeCell ref="LQU224:LQZ224"/>
    <mergeCell ref="LMW224:LNB224"/>
    <mergeCell ref="LNC224:LNH224"/>
    <mergeCell ref="LNI224:LNN224"/>
    <mergeCell ref="LNO224:LNT224"/>
    <mergeCell ref="LNU224:LNZ224"/>
    <mergeCell ref="LOA224:LOF224"/>
    <mergeCell ref="LOG224:LOL224"/>
    <mergeCell ref="LOM224:LOR224"/>
    <mergeCell ref="LOS224:LOX224"/>
    <mergeCell ref="LKU224:LKZ224"/>
    <mergeCell ref="LLA224:LLF224"/>
    <mergeCell ref="LLG224:LLL224"/>
    <mergeCell ref="LLM224:LLR224"/>
    <mergeCell ref="LLS224:LLX224"/>
    <mergeCell ref="LLY224:LMD224"/>
    <mergeCell ref="LME224:LMJ224"/>
    <mergeCell ref="LMK224:LMP224"/>
    <mergeCell ref="LMQ224:LMV224"/>
    <mergeCell ref="LIS224:LIX224"/>
    <mergeCell ref="LIY224:LJD224"/>
    <mergeCell ref="LJE224:LJJ224"/>
    <mergeCell ref="LJK224:LJP224"/>
    <mergeCell ref="LJQ224:LJV224"/>
    <mergeCell ref="LJW224:LKB224"/>
    <mergeCell ref="LKC224:LKH224"/>
    <mergeCell ref="LKI224:LKN224"/>
    <mergeCell ref="LKO224:LKT224"/>
    <mergeCell ref="LGQ224:LGV224"/>
    <mergeCell ref="LGW224:LHB224"/>
    <mergeCell ref="LHC224:LHH224"/>
    <mergeCell ref="LHI224:LHN224"/>
    <mergeCell ref="LHO224:LHT224"/>
    <mergeCell ref="LHU224:LHZ224"/>
    <mergeCell ref="LIA224:LIF224"/>
    <mergeCell ref="LIG224:LIL224"/>
    <mergeCell ref="LIM224:LIR224"/>
    <mergeCell ref="LEO224:LET224"/>
    <mergeCell ref="LEU224:LEZ224"/>
    <mergeCell ref="LFA224:LFF224"/>
    <mergeCell ref="LFG224:LFL224"/>
    <mergeCell ref="LFM224:LFR224"/>
    <mergeCell ref="LFS224:LFX224"/>
    <mergeCell ref="LFY224:LGD224"/>
    <mergeCell ref="LGE224:LGJ224"/>
    <mergeCell ref="LGK224:LGP224"/>
    <mergeCell ref="LCM224:LCR224"/>
    <mergeCell ref="LCS224:LCX224"/>
    <mergeCell ref="LCY224:LDD224"/>
    <mergeCell ref="LDE224:LDJ224"/>
    <mergeCell ref="LDK224:LDP224"/>
    <mergeCell ref="LDQ224:LDV224"/>
    <mergeCell ref="LDW224:LEB224"/>
    <mergeCell ref="LEC224:LEH224"/>
    <mergeCell ref="LEI224:LEN224"/>
    <mergeCell ref="LAK224:LAP224"/>
    <mergeCell ref="LAQ224:LAV224"/>
    <mergeCell ref="LAW224:LBB224"/>
    <mergeCell ref="LBC224:LBH224"/>
    <mergeCell ref="LBI224:LBN224"/>
    <mergeCell ref="LBO224:LBT224"/>
    <mergeCell ref="LBU224:LBZ224"/>
    <mergeCell ref="LCA224:LCF224"/>
    <mergeCell ref="LCG224:LCL224"/>
    <mergeCell ref="KYI224:KYN224"/>
    <mergeCell ref="KYO224:KYT224"/>
    <mergeCell ref="KYU224:KYZ224"/>
    <mergeCell ref="KZA224:KZF224"/>
    <mergeCell ref="KZG224:KZL224"/>
    <mergeCell ref="KZM224:KZR224"/>
    <mergeCell ref="KZS224:KZX224"/>
    <mergeCell ref="KZY224:LAD224"/>
    <mergeCell ref="LAE224:LAJ224"/>
    <mergeCell ref="KWG224:KWL224"/>
    <mergeCell ref="KWM224:KWR224"/>
    <mergeCell ref="KWS224:KWX224"/>
    <mergeCell ref="KWY224:KXD224"/>
    <mergeCell ref="KXE224:KXJ224"/>
    <mergeCell ref="KXK224:KXP224"/>
    <mergeCell ref="KXQ224:KXV224"/>
    <mergeCell ref="KXW224:KYB224"/>
    <mergeCell ref="KYC224:KYH224"/>
    <mergeCell ref="KUE224:KUJ224"/>
    <mergeCell ref="KUK224:KUP224"/>
    <mergeCell ref="KUQ224:KUV224"/>
    <mergeCell ref="KUW224:KVB224"/>
    <mergeCell ref="KVC224:KVH224"/>
    <mergeCell ref="KVI224:KVN224"/>
    <mergeCell ref="KVO224:KVT224"/>
    <mergeCell ref="KVU224:KVZ224"/>
    <mergeCell ref="KWA224:KWF224"/>
    <mergeCell ref="KSC224:KSH224"/>
    <mergeCell ref="KSI224:KSN224"/>
    <mergeCell ref="KSO224:KST224"/>
    <mergeCell ref="KSU224:KSZ224"/>
    <mergeCell ref="KTA224:KTF224"/>
    <mergeCell ref="KTG224:KTL224"/>
    <mergeCell ref="KTM224:KTR224"/>
    <mergeCell ref="KTS224:KTX224"/>
    <mergeCell ref="KTY224:KUD224"/>
    <mergeCell ref="KQA224:KQF224"/>
    <mergeCell ref="KQG224:KQL224"/>
    <mergeCell ref="KQM224:KQR224"/>
    <mergeCell ref="KQS224:KQX224"/>
    <mergeCell ref="KQY224:KRD224"/>
    <mergeCell ref="KRE224:KRJ224"/>
    <mergeCell ref="KRK224:KRP224"/>
    <mergeCell ref="KRQ224:KRV224"/>
    <mergeCell ref="KRW224:KSB224"/>
    <mergeCell ref="KNY224:KOD224"/>
    <mergeCell ref="KOE224:KOJ224"/>
    <mergeCell ref="KOK224:KOP224"/>
    <mergeCell ref="KOQ224:KOV224"/>
    <mergeCell ref="KOW224:KPB224"/>
    <mergeCell ref="KPC224:KPH224"/>
    <mergeCell ref="KPI224:KPN224"/>
    <mergeCell ref="KPO224:KPT224"/>
    <mergeCell ref="KPU224:KPZ224"/>
    <mergeCell ref="KLW224:KMB224"/>
    <mergeCell ref="KMC224:KMH224"/>
    <mergeCell ref="KMI224:KMN224"/>
    <mergeCell ref="KMO224:KMT224"/>
    <mergeCell ref="KMU224:KMZ224"/>
    <mergeCell ref="KNA224:KNF224"/>
    <mergeCell ref="KNG224:KNL224"/>
    <mergeCell ref="KNM224:KNR224"/>
    <mergeCell ref="KNS224:KNX224"/>
    <mergeCell ref="KJU224:KJZ224"/>
    <mergeCell ref="KKA224:KKF224"/>
    <mergeCell ref="KKG224:KKL224"/>
    <mergeCell ref="KKM224:KKR224"/>
    <mergeCell ref="KKS224:KKX224"/>
    <mergeCell ref="KKY224:KLD224"/>
    <mergeCell ref="KLE224:KLJ224"/>
    <mergeCell ref="KLK224:KLP224"/>
    <mergeCell ref="KLQ224:KLV224"/>
    <mergeCell ref="KHS224:KHX224"/>
    <mergeCell ref="KHY224:KID224"/>
    <mergeCell ref="KIE224:KIJ224"/>
    <mergeCell ref="KIK224:KIP224"/>
    <mergeCell ref="KIQ224:KIV224"/>
    <mergeCell ref="KIW224:KJB224"/>
    <mergeCell ref="KJC224:KJH224"/>
    <mergeCell ref="KJI224:KJN224"/>
    <mergeCell ref="KJO224:KJT224"/>
    <mergeCell ref="KFQ224:KFV224"/>
    <mergeCell ref="KFW224:KGB224"/>
    <mergeCell ref="KGC224:KGH224"/>
    <mergeCell ref="KGI224:KGN224"/>
    <mergeCell ref="KGO224:KGT224"/>
    <mergeCell ref="KGU224:KGZ224"/>
    <mergeCell ref="KHA224:KHF224"/>
    <mergeCell ref="KHG224:KHL224"/>
    <mergeCell ref="KHM224:KHR224"/>
    <mergeCell ref="KDO224:KDT224"/>
    <mergeCell ref="KDU224:KDZ224"/>
    <mergeCell ref="KEA224:KEF224"/>
    <mergeCell ref="KEG224:KEL224"/>
    <mergeCell ref="KEM224:KER224"/>
    <mergeCell ref="KES224:KEX224"/>
    <mergeCell ref="KEY224:KFD224"/>
    <mergeCell ref="KFE224:KFJ224"/>
    <mergeCell ref="KFK224:KFP224"/>
    <mergeCell ref="KBM224:KBR224"/>
    <mergeCell ref="KBS224:KBX224"/>
    <mergeCell ref="KBY224:KCD224"/>
    <mergeCell ref="KCE224:KCJ224"/>
    <mergeCell ref="KCK224:KCP224"/>
    <mergeCell ref="KCQ224:KCV224"/>
    <mergeCell ref="KCW224:KDB224"/>
    <mergeCell ref="KDC224:KDH224"/>
    <mergeCell ref="KDI224:KDN224"/>
    <mergeCell ref="JZK224:JZP224"/>
    <mergeCell ref="JZQ224:JZV224"/>
    <mergeCell ref="JZW224:KAB224"/>
    <mergeCell ref="KAC224:KAH224"/>
    <mergeCell ref="KAI224:KAN224"/>
    <mergeCell ref="KAO224:KAT224"/>
    <mergeCell ref="KAU224:KAZ224"/>
    <mergeCell ref="KBA224:KBF224"/>
    <mergeCell ref="KBG224:KBL224"/>
    <mergeCell ref="JXI224:JXN224"/>
    <mergeCell ref="JXO224:JXT224"/>
    <mergeCell ref="JXU224:JXZ224"/>
    <mergeCell ref="JYA224:JYF224"/>
    <mergeCell ref="JYG224:JYL224"/>
    <mergeCell ref="JYM224:JYR224"/>
    <mergeCell ref="JYS224:JYX224"/>
    <mergeCell ref="JYY224:JZD224"/>
    <mergeCell ref="JZE224:JZJ224"/>
    <mergeCell ref="JVG224:JVL224"/>
    <mergeCell ref="JVM224:JVR224"/>
    <mergeCell ref="JVS224:JVX224"/>
    <mergeCell ref="JVY224:JWD224"/>
    <mergeCell ref="JWE224:JWJ224"/>
    <mergeCell ref="JWK224:JWP224"/>
    <mergeCell ref="JWQ224:JWV224"/>
    <mergeCell ref="JWW224:JXB224"/>
    <mergeCell ref="JXC224:JXH224"/>
    <mergeCell ref="JTE224:JTJ224"/>
    <mergeCell ref="JTK224:JTP224"/>
    <mergeCell ref="JTQ224:JTV224"/>
    <mergeCell ref="JTW224:JUB224"/>
    <mergeCell ref="JUC224:JUH224"/>
    <mergeCell ref="JUI224:JUN224"/>
    <mergeCell ref="JUO224:JUT224"/>
    <mergeCell ref="JUU224:JUZ224"/>
    <mergeCell ref="JVA224:JVF224"/>
    <mergeCell ref="JRC224:JRH224"/>
    <mergeCell ref="JRI224:JRN224"/>
    <mergeCell ref="JRO224:JRT224"/>
    <mergeCell ref="JRU224:JRZ224"/>
    <mergeCell ref="JSA224:JSF224"/>
    <mergeCell ref="JSG224:JSL224"/>
    <mergeCell ref="JSM224:JSR224"/>
    <mergeCell ref="JSS224:JSX224"/>
    <mergeCell ref="JSY224:JTD224"/>
    <mergeCell ref="JPA224:JPF224"/>
    <mergeCell ref="JPG224:JPL224"/>
    <mergeCell ref="JPM224:JPR224"/>
    <mergeCell ref="JPS224:JPX224"/>
    <mergeCell ref="JPY224:JQD224"/>
    <mergeCell ref="JQE224:JQJ224"/>
    <mergeCell ref="JQK224:JQP224"/>
    <mergeCell ref="JQQ224:JQV224"/>
    <mergeCell ref="JQW224:JRB224"/>
    <mergeCell ref="JMY224:JND224"/>
    <mergeCell ref="JNE224:JNJ224"/>
    <mergeCell ref="JNK224:JNP224"/>
    <mergeCell ref="JNQ224:JNV224"/>
    <mergeCell ref="JNW224:JOB224"/>
    <mergeCell ref="JOC224:JOH224"/>
    <mergeCell ref="JOI224:JON224"/>
    <mergeCell ref="JOO224:JOT224"/>
    <mergeCell ref="JOU224:JOZ224"/>
    <mergeCell ref="JKW224:JLB224"/>
    <mergeCell ref="JLC224:JLH224"/>
    <mergeCell ref="JLI224:JLN224"/>
    <mergeCell ref="JLO224:JLT224"/>
    <mergeCell ref="JLU224:JLZ224"/>
    <mergeCell ref="JMA224:JMF224"/>
    <mergeCell ref="JMG224:JML224"/>
    <mergeCell ref="JMM224:JMR224"/>
    <mergeCell ref="JMS224:JMX224"/>
    <mergeCell ref="JIU224:JIZ224"/>
    <mergeCell ref="JJA224:JJF224"/>
    <mergeCell ref="JJG224:JJL224"/>
    <mergeCell ref="JJM224:JJR224"/>
    <mergeCell ref="JJS224:JJX224"/>
    <mergeCell ref="JJY224:JKD224"/>
    <mergeCell ref="JKE224:JKJ224"/>
    <mergeCell ref="JKK224:JKP224"/>
    <mergeCell ref="JKQ224:JKV224"/>
    <mergeCell ref="JGS224:JGX224"/>
    <mergeCell ref="JGY224:JHD224"/>
    <mergeCell ref="JHE224:JHJ224"/>
    <mergeCell ref="JHK224:JHP224"/>
    <mergeCell ref="JHQ224:JHV224"/>
    <mergeCell ref="JHW224:JIB224"/>
    <mergeCell ref="JIC224:JIH224"/>
    <mergeCell ref="JII224:JIN224"/>
    <mergeCell ref="JIO224:JIT224"/>
    <mergeCell ref="JEQ224:JEV224"/>
    <mergeCell ref="JEW224:JFB224"/>
    <mergeCell ref="JFC224:JFH224"/>
    <mergeCell ref="JFI224:JFN224"/>
    <mergeCell ref="JFO224:JFT224"/>
    <mergeCell ref="JFU224:JFZ224"/>
    <mergeCell ref="JGA224:JGF224"/>
    <mergeCell ref="JGG224:JGL224"/>
    <mergeCell ref="JGM224:JGR224"/>
    <mergeCell ref="JCO224:JCT224"/>
    <mergeCell ref="JCU224:JCZ224"/>
    <mergeCell ref="JDA224:JDF224"/>
    <mergeCell ref="JDG224:JDL224"/>
    <mergeCell ref="JDM224:JDR224"/>
    <mergeCell ref="JDS224:JDX224"/>
    <mergeCell ref="JDY224:JED224"/>
    <mergeCell ref="JEE224:JEJ224"/>
    <mergeCell ref="JEK224:JEP224"/>
    <mergeCell ref="JAM224:JAR224"/>
    <mergeCell ref="JAS224:JAX224"/>
    <mergeCell ref="JAY224:JBD224"/>
    <mergeCell ref="JBE224:JBJ224"/>
    <mergeCell ref="JBK224:JBP224"/>
    <mergeCell ref="JBQ224:JBV224"/>
    <mergeCell ref="JBW224:JCB224"/>
    <mergeCell ref="JCC224:JCH224"/>
    <mergeCell ref="JCI224:JCN224"/>
    <mergeCell ref="IYK224:IYP224"/>
    <mergeCell ref="IYQ224:IYV224"/>
    <mergeCell ref="IYW224:IZB224"/>
    <mergeCell ref="IZC224:IZH224"/>
    <mergeCell ref="IZI224:IZN224"/>
    <mergeCell ref="IZO224:IZT224"/>
    <mergeCell ref="IZU224:IZZ224"/>
    <mergeCell ref="JAA224:JAF224"/>
    <mergeCell ref="JAG224:JAL224"/>
    <mergeCell ref="IWI224:IWN224"/>
    <mergeCell ref="IWO224:IWT224"/>
    <mergeCell ref="IWU224:IWZ224"/>
    <mergeCell ref="IXA224:IXF224"/>
    <mergeCell ref="IXG224:IXL224"/>
    <mergeCell ref="IXM224:IXR224"/>
    <mergeCell ref="IXS224:IXX224"/>
    <mergeCell ref="IXY224:IYD224"/>
    <mergeCell ref="IYE224:IYJ224"/>
    <mergeCell ref="IUG224:IUL224"/>
    <mergeCell ref="IUM224:IUR224"/>
    <mergeCell ref="IUS224:IUX224"/>
    <mergeCell ref="IUY224:IVD224"/>
    <mergeCell ref="IVE224:IVJ224"/>
    <mergeCell ref="IVK224:IVP224"/>
    <mergeCell ref="IVQ224:IVV224"/>
    <mergeCell ref="IVW224:IWB224"/>
    <mergeCell ref="IWC224:IWH224"/>
    <mergeCell ref="ISE224:ISJ224"/>
    <mergeCell ref="ISK224:ISP224"/>
    <mergeCell ref="ISQ224:ISV224"/>
    <mergeCell ref="ISW224:ITB224"/>
    <mergeCell ref="ITC224:ITH224"/>
    <mergeCell ref="ITI224:ITN224"/>
    <mergeCell ref="ITO224:ITT224"/>
    <mergeCell ref="ITU224:ITZ224"/>
    <mergeCell ref="IUA224:IUF224"/>
    <mergeCell ref="IQC224:IQH224"/>
    <mergeCell ref="IQI224:IQN224"/>
    <mergeCell ref="IQO224:IQT224"/>
    <mergeCell ref="IQU224:IQZ224"/>
    <mergeCell ref="IRA224:IRF224"/>
    <mergeCell ref="IRG224:IRL224"/>
    <mergeCell ref="IRM224:IRR224"/>
    <mergeCell ref="IRS224:IRX224"/>
    <mergeCell ref="IRY224:ISD224"/>
    <mergeCell ref="IOA224:IOF224"/>
    <mergeCell ref="IOG224:IOL224"/>
    <mergeCell ref="IOM224:IOR224"/>
    <mergeCell ref="IOS224:IOX224"/>
    <mergeCell ref="IOY224:IPD224"/>
    <mergeCell ref="IPE224:IPJ224"/>
    <mergeCell ref="IPK224:IPP224"/>
    <mergeCell ref="IPQ224:IPV224"/>
    <mergeCell ref="IPW224:IQB224"/>
    <mergeCell ref="ILY224:IMD224"/>
    <mergeCell ref="IME224:IMJ224"/>
    <mergeCell ref="IMK224:IMP224"/>
    <mergeCell ref="IMQ224:IMV224"/>
    <mergeCell ref="IMW224:INB224"/>
    <mergeCell ref="INC224:INH224"/>
    <mergeCell ref="INI224:INN224"/>
    <mergeCell ref="INO224:INT224"/>
    <mergeCell ref="INU224:INZ224"/>
    <mergeCell ref="IJW224:IKB224"/>
    <mergeCell ref="IKC224:IKH224"/>
    <mergeCell ref="IKI224:IKN224"/>
    <mergeCell ref="IKO224:IKT224"/>
    <mergeCell ref="IKU224:IKZ224"/>
    <mergeCell ref="ILA224:ILF224"/>
    <mergeCell ref="ILG224:ILL224"/>
    <mergeCell ref="ILM224:ILR224"/>
    <mergeCell ref="ILS224:ILX224"/>
    <mergeCell ref="IHU224:IHZ224"/>
    <mergeCell ref="IIA224:IIF224"/>
    <mergeCell ref="IIG224:IIL224"/>
    <mergeCell ref="IIM224:IIR224"/>
    <mergeCell ref="IIS224:IIX224"/>
    <mergeCell ref="IIY224:IJD224"/>
    <mergeCell ref="IJE224:IJJ224"/>
    <mergeCell ref="IJK224:IJP224"/>
    <mergeCell ref="IJQ224:IJV224"/>
    <mergeCell ref="IFS224:IFX224"/>
    <mergeCell ref="IFY224:IGD224"/>
    <mergeCell ref="IGE224:IGJ224"/>
    <mergeCell ref="IGK224:IGP224"/>
    <mergeCell ref="IGQ224:IGV224"/>
    <mergeCell ref="IGW224:IHB224"/>
    <mergeCell ref="IHC224:IHH224"/>
    <mergeCell ref="IHI224:IHN224"/>
    <mergeCell ref="IHO224:IHT224"/>
    <mergeCell ref="IDQ224:IDV224"/>
    <mergeCell ref="IDW224:IEB224"/>
    <mergeCell ref="IEC224:IEH224"/>
    <mergeCell ref="IEI224:IEN224"/>
    <mergeCell ref="IEO224:IET224"/>
    <mergeCell ref="IEU224:IEZ224"/>
    <mergeCell ref="IFA224:IFF224"/>
    <mergeCell ref="IFG224:IFL224"/>
    <mergeCell ref="IFM224:IFR224"/>
    <mergeCell ref="IBO224:IBT224"/>
    <mergeCell ref="IBU224:IBZ224"/>
    <mergeCell ref="ICA224:ICF224"/>
    <mergeCell ref="ICG224:ICL224"/>
    <mergeCell ref="ICM224:ICR224"/>
    <mergeCell ref="ICS224:ICX224"/>
    <mergeCell ref="ICY224:IDD224"/>
    <mergeCell ref="IDE224:IDJ224"/>
    <mergeCell ref="IDK224:IDP224"/>
    <mergeCell ref="HZM224:HZR224"/>
    <mergeCell ref="HZS224:HZX224"/>
    <mergeCell ref="HZY224:IAD224"/>
    <mergeCell ref="IAE224:IAJ224"/>
    <mergeCell ref="IAK224:IAP224"/>
    <mergeCell ref="IAQ224:IAV224"/>
    <mergeCell ref="IAW224:IBB224"/>
    <mergeCell ref="IBC224:IBH224"/>
    <mergeCell ref="IBI224:IBN224"/>
    <mergeCell ref="HXK224:HXP224"/>
    <mergeCell ref="HXQ224:HXV224"/>
    <mergeCell ref="HXW224:HYB224"/>
    <mergeCell ref="HYC224:HYH224"/>
    <mergeCell ref="HYI224:HYN224"/>
    <mergeCell ref="HYO224:HYT224"/>
    <mergeCell ref="HYU224:HYZ224"/>
    <mergeCell ref="HZA224:HZF224"/>
    <mergeCell ref="HZG224:HZL224"/>
    <mergeCell ref="HVI224:HVN224"/>
    <mergeCell ref="HVO224:HVT224"/>
    <mergeCell ref="HVU224:HVZ224"/>
    <mergeCell ref="HWA224:HWF224"/>
    <mergeCell ref="HWG224:HWL224"/>
    <mergeCell ref="HWM224:HWR224"/>
    <mergeCell ref="HWS224:HWX224"/>
    <mergeCell ref="HWY224:HXD224"/>
    <mergeCell ref="HXE224:HXJ224"/>
    <mergeCell ref="HTG224:HTL224"/>
    <mergeCell ref="HTM224:HTR224"/>
    <mergeCell ref="HTS224:HTX224"/>
    <mergeCell ref="HTY224:HUD224"/>
    <mergeCell ref="HUE224:HUJ224"/>
    <mergeCell ref="HUK224:HUP224"/>
    <mergeCell ref="HUQ224:HUV224"/>
    <mergeCell ref="HUW224:HVB224"/>
    <mergeCell ref="HVC224:HVH224"/>
    <mergeCell ref="HRE224:HRJ224"/>
    <mergeCell ref="HRK224:HRP224"/>
    <mergeCell ref="HRQ224:HRV224"/>
    <mergeCell ref="HRW224:HSB224"/>
    <mergeCell ref="HSC224:HSH224"/>
    <mergeCell ref="HSI224:HSN224"/>
    <mergeCell ref="HSO224:HST224"/>
    <mergeCell ref="HSU224:HSZ224"/>
    <mergeCell ref="HTA224:HTF224"/>
    <mergeCell ref="HPC224:HPH224"/>
    <mergeCell ref="HPI224:HPN224"/>
    <mergeCell ref="HPO224:HPT224"/>
    <mergeCell ref="HPU224:HPZ224"/>
    <mergeCell ref="HQA224:HQF224"/>
    <mergeCell ref="HQG224:HQL224"/>
    <mergeCell ref="HQM224:HQR224"/>
    <mergeCell ref="HQS224:HQX224"/>
    <mergeCell ref="HQY224:HRD224"/>
    <mergeCell ref="HNA224:HNF224"/>
    <mergeCell ref="HNG224:HNL224"/>
    <mergeCell ref="HNM224:HNR224"/>
    <mergeCell ref="HNS224:HNX224"/>
    <mergeCell ref="HNY224:HOD224"/>
    <mergeCell ref="HOE224:HOJ224"/>
    <mergeCell ref="HOK224:HOP224"/>
    <mergeCell ref="HOQ224:HOV224"/>
    <mergeCell ref="HOW224:HPB224"/>
    <mergeCell ref="HKY224:HLD224"/>
    <mergeCell ref="HLE224:HLJ224"/>
    <mergeCell ref="HLK224:HLP224"/>
    <mergeCell ref="HLQ224:HLV224"/>
    <mergeCell ref="HLW224:HMB224"/>
    <mergeCell ref="HMC224:HMH224"/>
    <mergeCell ref="HMI224:HMN224"/>
    <mergeCell ref="HMO224:HMT224"/>
    <mergeCell ref="HMU224:HMZ224"/>
    <mergeCell ref="HIW224:HJB224"/>
    <mergeCell ref="HJC224:HJH224"/>
    <mergeCell ref="HJI224:HJN224"/>
    <mergeCell ref="HJO224:HJT224"/>
    <mergeCell ref="HJU224:HJZ224"/>
    <mergeCell ref="HKA224:HKF224"/>
    <mergeCell ref="HKG224:HKL224"/>
    <mergeCell ref="HKM224:HKR224"/>
    <mergeCell ref="HKS224:HKX224"/>
    <mergeCell ref="HGU224:HGZ224"/>
    <mergeCell ref="HHA224:HHF224"/>
    <mergeCell ref="HHG224:HHL224"/>
    <mergeCell ref="HHM224:HHR224"/>
    <mergeCell ref="HHS224:HHX224"/>
    <mergeCell ref="HHY224:HID224"/>
    <mergeCell ref="HIE224:HIJ224"/>
    <mergeCell ref="HIK224:HIP224"/>
    <mergeCell ref="HIQ224:HIV224"/>
    <mergeCell ref="HES224:HEX224"/>
    <mergeCell ref="HEY224:HFD224"/>
    <mergeCell ref="HFE224:HFJ224"/>
    <mergeCell ref="HFK224:HFP224"/>
    <mergeCell ref="HFQ224:HFV224"/>
    <mergeCell ref="HFW224:HGB224"/>
    <mergeCell ref="HGC224:HGH224"/>
    <mergeCell ref="HGI224:HGN224"/>
    <mergeCell ref="HGO224:HGT224"/>
    <mergeCell ref="HCQ224:HCV224"/>
    <mergeCell ref="HCW224:HDB224"/>
    <mergeCell ref="HDC224:HDH224"/>
    <mergeCell ref="HDI224:HDN224"/>
    <mergeCell ref="HDO224:HDT224"/>
    <mergeCell ref="HDU224:HDZ224"/>
    <mergeCell ref="HEA224:HEF224"/>
    <mergeCell ref="HEG224:HEL224"/>
    <mergeCell ref="HEM224:HER224"/>
    <mergeCell ref="HAO224:HAT224"/>
    <mergeCell ref="HAU224:HAZ224"/>
    <mergeCell ref="HBA224:HBF224"/>
    <mergeCell ref="HBG224:HBL224"/>
    <mergeCell ref="HBM224:HBR224"/>
    <mergeCell ref="HBS224:HBX224"/>
    <mergeCell ref="HBY224:HCD224"/>
    <mergeCell ref="HCE224:HCJ224"/>
    <mergeCell ref="HCK224:HCP224"/>
    <mergeCell ref="GYM224:GYR224"/>
    <mergeCell ref="GYS224:GYX224"/>
    <mergeCell ref="GYY224:GZD224"/>
    <mergeCell ref="GZE224:GZJ224"/>
    <mergeCell ref="GZK224:GZP224"/>
    <mergeCell ref="GZQ224:GZV224"/>
    <mergeCell ref="GZW224:HAB224"/>
    <mergeCell ref="HAC224:HAH224"/>
    <mergeCell ref="HAI224:HAN224"/>
    <mergeCell ref="GWK224:GWP224"/>
    <mergeCell ref="GWQ224:GWV224"/>
    <mergeCell ref="GWW224:GXB224"/>
    <mergeCell ref="GXC224:GXH224"/>
    <mergeCell ref="GXI224:GXN224"/>
    <mergeCell ref="GXO224:GXT224"/>
    <mergeCell ref="GXU224:GXZ224"/>
    <mergeCell ref="GYA224:GYF224"/>
    <mergeCell ref="GYG224:GYL224"/>
    <mergeCell ref="GUI224:GUN224"/>
    <mergeCell ref="GUO224:GUT224"/>
    <mergeCell ref="GUU224:GUZ224"/>
    <mergeCell ref="GVA224:GVF224"/>
    <mergeCell ref="GVG224:GVL224"/>
    <mergeCell ref="GVM224:GVR224"/>
    <mergeCell ref="GVS224:GVX224"/>
    <mergeCell ref="GVY224:GWD224"/>
    <mergeCell ref="GWE224:GWJ224"/>
    <mergeCell ref="GSG224:GSL224"/>
    <mergeCell ref="GSM224:GSR224"/>
    <mergeCell ref="GSS224:GSX224"/>
    <mergeCell ref="GSY224:GTD224"/>
    <mergeCell ref="GTE224:GTJ224"/>
    <mergeCell ref="GTK224:GTP224"/>
    <mergeCell ref="GTQ224:GTV224"/>
    <mergeCell ref="GTW224:GUB224"/>
    <mergeCell ref="GUC224:GUH224"/>
    <mergeCell ref="GQE224:GQJ224"/>
    <mergeCell ref="GQK224:GQP224"/>
    <mergeCell ref="GQQ224:GQV224"/>
    <mergeCell ref="GQW224:GRB224"/>
    <mergeCell ref="GRC224:GRH224"/>
    <mergeCell ref="GRI224:GRN224"/>
    <mergeCell ref="GRO224:GRT224"/>
    <mergeCell ref="GRU224:GRZ224"/>
    <mergeCell ref="GSA224:GSF224"/>
    <mergeCell ref="GOC224:GOH224"/>
    <mergeCell ref="GOI224:GON224"/>
    <mergeCell ref="GOO224:GOT224"/>
    <mergeCell ref="GOU224:GOZ224"/>
    <mergeCell ref="GPA224:GPF224"/>
    <mergeCell ref="GPG224:GPL224"/>
    <mergeCell ref="GPM224:GPR224"/>
    <mergeCell ref="GPS224:GPX224"/>
    <mergeCell ref="GPY224:GQD224"/>
    <mergeCell ref="GMA224:GMF224"/>
    <mergeCell ref="GMG224:GML224"/>
    <mergeCell ref="GMM224:GMR224"/>
    <mergeCell ref="GMS224:GMX224"/>
    <mergeCell ref="GMY224:GND224"/>
    <mergeCell ref="GNE224:GNJ224"/>
    <mergeCell ref="GNK224:GNP224"/>
    <mergeCell ref="GNQ224:GNV224"/>
    <mergeCell ref="GNW224:GOB224"/>
    <mergeCell ref="GJY224:GKD224"/>
    <mergeCell ref="GKE224:GKJ224"/>
    <mergeCell ref="GKK224:GKP224"/>
    <mergeCell ref="GKQ224:GKV224"/>
    <mergeCell ref="GKW224:GLB224"/>
    <mergeCell ref="GLC224:GLH224"/>
    <mergeCell ref="GLI224:GLN224"/>
    <mergeCell ref="GLO224:GLT224"/>
    <mergeCell ref="GLU224:GLZ224"/>
    <mergeCell ref="GHW224:GIB224"/>
    <mergeCell ref="GIC224:GIH224"/>
    <mergeCell ref="GII224:GIN224"/>
    <mergeCell ref="GIO224:GIT224"/>
    <mergeCell ref="GIU224:GIZ224"/>
    <mergeCell ref="GJA224:GJF224"/>
    <mergeCell ref="GJG224:GJL224"/>
    <mergeCell ref="GJM224:GJR224"/>
    <mergeCell ref="GJS224:GJX224"/>
    <mergeCell ref="GFU224:GFZ224"/>
    <mergeCell ref="GGA224:GGF224"/>
    <mergeCell ref="GGG224:GGL224"/>
    <mergeCell ref="GGM224:GGR224"/>
    <mergeCell ref="GGS224:GGX224"/>
    <mergeCell ref="GGY224:GHD224"/>
    <mergeCell ref="GHE224:GHJ224"/>
    <mergeCell ref="GHK224:GHP224"/>
    <mergeCell ref="GHQ224:GHV224"/>
    <mergeCell ref="GDS224:GDX224"/>
    <mergeCell ref="GDY224:GED224"/>
    <mergeCell ref="GEE224:GEJ224"/>
    <mergeCell ref="GEK224:GEP224"/>
    <mergeCell ref="GEQ224:GEV224"/>
    <mergeCell ref="GEW224:GFB224"/>
    <mergeCell ref="GFC224:GFH224"/>
    <mergeCell ref="GFI224:GFN224"/>
    <mergeCell ref="GFO224:GFT224"/>
    <mergeCell ref="GBQ224:GBV224"/>
    <mergeCell ref="GBW224:GCB224"/>
    <mergeCell ref="GCC224:GCH224"/>
    <mergeCell ref="GCI224:GCN224"/>
    <mergeCell ref="GCO224:GCT224"/>
    <mergeCell ref="GCU224:GCZ224"/>
    <mergeCell ref="GDA224:GDF224"/>
    <mergeCell ref="GDG224:GDL224"/>
    <mergeCell ref="GDM224:GDR224"/>
    <mergeCell ref="FZO224:FZT224"/>
    <mergeCell ref="FZU224:FZZ224"/>
    <mergeCell ref="GAA224:GAF224"/>
    <mergeCell ref="GAG224:GAL224"/>
    <mergeCell ref="GAM224:GAR224"/>
    <mergeCell ref="GAS224:GAX224"/>
    <mergeCell ref="GAY224:GBD224"/>
    <mergeCell ref="GBE224:GBJ224"/>
    <mergeCell ref="GBK224:GBP224"/>
    <mergeCell ref="FXM224:FXR224"/>
    <mergeCell ref="FXS224:FXX224"/>
    <mergeCell ref="FXY224:FYD224"/>
    <mergeCell ref="FYE224:FYJ224"/>
    <mergeCell ref="FYK224:FYP224"/>
    <mergeCell ref="FYQ224:FYV224"/>
    <mergeCell ref="FYW224:FZB224"/>
    <mergeCell ref="FZC224:FZH224"/>
    <mergeCell ref="FZI224:FZN224"/>
    <mergeCell ref="FVK224:FVP224"/>
    <mergeCell ref="FVQ224:FVV224"/>
    <mergeCell ref="FVW224:FWB224"/>
    <mergeCell ref="FWC224:FWH224"/>
    <mergeCell ref="FWI224:FWN224"/>
    <mergeCell ref="FWO224:FWT224"/>
    <mergeCell ref="FWU224:FWZ224"/>
    <mergeCell ref="FXA224:FXF224"/>
    <mergeCell ref="FXG224:FXL224"/>
    <mergeCell ref="FTI224:FTN224"/>
    <mergeCell ref="FTO224:FTT224"/>
    <mergeCell ref="FTU224:FTZ224"/>
    <mergeCell ref="FUA224:FUF224"/>
    <mergeCell ref="FUG224:FUL224"/>
    <mergeCell ref="FUM224:FUR224"/>
    <mergeCell ref="FUS224:FUX224"/>
    <mergeCell ref="FUY224:FVD224"/>
    <mergeCell ref="FVE224:FVJ224"/>
    <mergeCell ref="FRG224:FRL224"/>
    <mergeCell ref="FRM224:FRR224"/>
    <mergeCell ref="FRS224:FRX224"/>
    <mergeCell ref="FRY224:FSD224"/>
    <mergeCell ref="FSE224:FSJ224"/>
    <mergeCell ref="FSK224:FSP224"/>
    <mergeCell ref="FSQ224:FSV224"/>
    <mergeCell ref="FSW224:FTB224"/>
    <mergeCell ref="FTC224:FTH224"/>
    <mergeCell ref="FPE224:FPJ224"/>
    <mergeCell ref="FPK224:FPP224"/>
    <mergeCell ref="FPQ224:FPV224"/>
    <mergeCell ref="FPW224:FQB224"/>
    <mergeCell ref="FQC224:FQH224"/>
    <mergeCell ref="FQI224:FQN224"/>
    <mergeCell ref="FQO224:FQT224"/>
    <mergeCell ref="FQU224:FQZ224"/>
    <mergeCell ref="FRA224:FRF224"/>
    <mergeCell ref="FNC224:FNH224"/>
    <mergeCell ref="FNI224:FNN224"/>
    <mergeCell ref="FNO224:FNT224"/>
    <mergeCell ref="FNU224:FNZ224"/>
    <mergeCell ref="FOA224:FOF224"/>
    <mergeCell ref="FOG224:FOL224"/>
    <mergeCell ref="FOM224:FOR224"/>
    <mergeCell ref="FOS224:FOX224"/>
    <mergeCell ref="FOY224:FPD224"/>
    <mergeCell ref="FLA224:FLF224"/>
    <mergeCell ref="FLG224:FLL224"/>
    <mergeCell ref="FLM224:FLR224"/>
    <mergeCell ref="FLS224:FLX224"/>
    <mergeCell ref="FLY224:FMD224"/>
    <mergeCell ref="FME224:FMJ224"/>
    <mergeCell ref="FMK224:FMP224"/>
    <mergeCell ref="FMQ224:FMV224"/>
    <mergeCell ref="FMW224:FNB224"/>
    <mergeCell ref="FIY224:FJD224"/>
    <mergeCell ref="FJE224:FJJ224"/>
    <mergeCell ref="FJK224:FJP224"/>
    <mergeCell ref="FJQ224:FJV224"/>
    <mergeCell ref="FJW224:FKB224"/>
    <mergeCell ref="FKC224:FKH224"/>
    <mergeCell ref="FKI224:FKN224"/>
    <mergeCell ref="FKO224:FKT224"/>
    <mergeCell ref="FKU224:FKZ224"/>
    <mergeCell ref="FGW224:FHB224"/>
    <mergeCell ref="FHC224:FHH224"/>
    <mergeCell ref="FHI224:FHN224"/>
    <mergeCell ref="FHO224:FHT224"/>
    <mergeCell ref="FHU224:FHZ224"/>
    <mergeCell ref="FIA224:FIF224"/>
    <mergeCell ref="FIG224:FIL224"/>
    <mergeCell ref="FIM224:FIR224"/>
    <mergeCell ref="FIS224:FIX224"/>
    <mergeCell ref="FEU224:FEZ224"/>
    <mergeCell ref="FFA224:FFF224"/>
    <mergeCell ref="FFG224:FFL224"/>
    <mergeCell ref="FFM224:FFR224"/>
    <mergeCell ref="FFS224:FFX224"/>
    <mergeCell ref="FFY224:FGD224"/>
    <mergeCell ref="FGE224:FGJ224"/>
    <mergeCell ref="FGK224:FGP224"/>
    <mergeCell ref="FGQ224:FGV224"/>
    <mergeCell ref="FCS224:FCX224"/>
    <mergeCell ref="FCY224:FDD224"/>
    <mergeCell ref="FDE224:FDJ224"/>
    <mergeCell ref="FDK224:FDP224"/>
    <mergeCell ref="FDQ224:FDV224"/>
    <mergeCell ref="FDW224:FEB224"/>
    <mergeCell ref="FEC224:FEH224"/>
    <mergeCell ref="FEI224:FEN224"/>
    <mergeCell ref="FEO224:FET224"/>
    <mergeCell ref="FAQ224:FAV224"/>
    <mergeCell ref="FAW224:FBB224"/>
    <mergeCell ref="FBC224:FBH224"/>
    <mergeCell ref="FBI224:FBN224"/>
    <mergeCell ref="FBO224:FBT224"/>
    <mergeCell ref="FBU224:FBZ224"/>
    <mergeCell ref="FCA224:FCF224"/>
    <mergeCell ref="FCG224:FCL224"/>
    <mergeCell ref="FCM224:FCR224"/>
    <mergeCell ref="EYO224:EYT224"/>
    <mergeCell ref="EYU224:EYZ224"/>
    <mergeCell ref="EZA224:EZF224"/>
    <mergeCell ref="EZG224:EZL224"/>
    <mergeCell ref="EZM224:EZR224"/>
    <mergeCell ref="EZS224:EZX224"/>
    <mergeCell ref="EZY224:FAD224"/>
    <mergeCell ref="FAE224:FAJ224"/>
    <mergeCell ref="FAK224:FAP224"/>
    <mergeCell ref="EWM224:EWR224"/>
    <mergeCell ref="EWS224:EWX224"/>
    <mergeCell ref="EWY224:EXD224"/>
    <mergeCell ref="EXE224:EXJ224"/>
    <mergeCell ref="EXK224:EXP224"/>
    <mergeCell ref="EXQ224:EXV224"/>
    <mergeCell ref="EXW224:EYB224"/>
    <mergeCell ref="EYC224:EYH224"/>
    <mergeCell ref="EYI224:EYN224"/>
    <mergeCell ref="EUK224:EUP224"/>
    <mergeCell ref="EUQ224:EUV224"/>
    <mergeCell ref="EUW224:EVB224"/>
    <mergeCell ref="EVC224:EVH224"/>
    <mergeCell ref="EVI224:EVN224"/>
    <mergeCell ref="EVO224:EVT224"/>
    <mergeCell ref="EVU224:EVZ224"/>
    <mergeCell ref="EWA224:EWF224"/>
    <mergeCell ref="EWG224:EWL224"/>
    <mergeCell ref="ESI224:ESN224"/>
    <mergeCell ref="ESO224:EST224"/>
    <mergeCell ref="ESU224:ESZ224"/>
    <mergeCell ref="ETA224:ETF224"/>
    <mergeCell ref="ETG224:ETL224"/>
    <mergeCell ref="ETM224:ETR224"/>
    <mergeCell ref="ETS224:ETX224"/>
    <mergeCell ref="ETY224:EUD224"/>
    <mergeCell ref="EUE224:EUJ224"/>
    <mergeCell ref="EQG224:EQL224"/>
    <mergeCell ref="EQM224:EQR224"/>
    <mergeCell ref="EQS224:EQX224"/>
    <mergeCell ref="EQY224:ERD224"/>
    <mergeCell ref="ERE224:ERJ224"/>
    <mergeCell ref="ERK224:ERP224"/>
    <mergeCell ref="ERQ224:ERV224"/>
    <mergeCell ref="ERW224:ESB224"/>
    <mergeCell ref="ESC224:ESH224"/>
    <mergeCell ref="EOE224:EOJ224"/>
    <mergeCell ref="EOK224:EOP224"/>
    <mergeCell ref="EOQ224:EOV224"/>
    <mergeCell ref="EOW224:EPB224"/>
    <mergeCell ref="EPC224:EPH224"/>
    <mergeCell ref="EPI224:EPN224"/>
    <mergeCell ref="EPO224:EPT224"/>
    <mergeCell ref="EPU224:EPZ224"/>
    <mergeCell ref="EQA224:EQF224"/>
    <mergeCell ref="EMC224:EMH224"/>
    <mergeCell ref="EMI224:EMN224"/>
    <mergeCell ref="EMO224:EMT224"/>
    <mergeCell ref="EMU224:EMZ224"/>
    <mergeCell ref="ENA224:ENF224"/>
    <mergeCell ref="ENG224:ENL224"/>
    <mergeCell ref="ENM224:ENR224"/>
    <mergeCell ref="ENS224:ENX224"/>
    <mergeCell ref="ENY224:EOD224"/>
    <mergeCell ref="EKA224:EKF224"/>
    <mergeCell ref="EKG224:EKL224"/>
    <mergeCell ref="EKM224:EKR224"/>
    <mergeCell ref="EKS224:EKX224"/>
    <mergeCell ref="EKY224:ELD224"/>
    <mergeCell ref="ELE224:ELJ224"/>
    <mergeCell ref="ELK224:ELP224"/>
    <mergeCell ref="ELQ224:ELV224"/>
    <mergeCell ref="ELW224:EMB224"/>
    <mergeCell ref="EHY224:EID224"/>
    <mergeCell ref="EIE224:EIJ224"/>
    <mergeCell ref="EIK224:EIP224"/>
    <mergeCell ref="EIQ224:EIV224"/>
    <mergeCell ref="EIW224:EJB224"/>
    <mergeCell ref="EJC224:EJH224"/>
    <mergeCell ref="EJI224:EJN224"/>
    <mergeCell ref="EJO224:EJT224"/>
    <mergeCell ref="EJU224:EJZ224"/>
    <mergeCell ref="EFW224:EGB224"/>
    <mergeCell ref="EGC224:EGH224"/>
    <mergeCell ref="EGI224:EGN224"/>
    <mergeCell ref="EGO224:EGT224"/>
    <mergeCell ref="EGU224:EGZ224"/>
    <mergeCell ref="EHA224:EHF224"/>
    <mergeCell ref="EHG224:EHL224"/>
    <mergeCell ref="EHM224:EHR224"/>
    <mergeCell ref="EHS224:EHX224"/>
    <mergeCell ref="EDU224:EDZ224"/>
    <mergeCell ref="EEA224:EEF224"/>
    <mergeCell ref="EEG224:EEL224"/>
    <mergeCell ref="EEM224:EER224"/>
    <mergeCell ref="EES224:EEX224"/>
    <mergeCell ref="EEY224:EFD224"/>
    <mergeCell ref="EFE224:EFJ224"/>
    <mergeCell ref="EFK224:EFP224"/>
    <mergeCell ref="EFQ224:EFV224"/>
    <mergeCell ref="EBS224:EBX224"/>
    <mergeCell ref="EBY224:ECD224"/>
    <mergeCell ref="ECE224:ECJ224"/>
    <mergeCell ref="ECK224:ECP224"/>
    <mergeCell ref="ECQ224:ECV224"/>
    <mergeCell ref="ECW224:EDB224"/>
    <mergeCell ref="EDC224:EDH224"/>
    <mergeCell ref="EDI224:EDN224"/>
    <mergeCell ref="EDO224:EDT224"/>
    <mergeCell ref="DZQ224:DZV224"/>
    <mergeCell ref="DZW224:EAB224"/>
    <mergeCell ref="EAC224:EAH224"/>
    <mergeCell ref="EAI224:EAN224"/>
    <mergeCell ref="EAO224:EAT224"/>
    <mergeCell ref="EAU224:EAZ224"/>
    <mergeCell ref="EBA224:EBF224"/>
    <mergeCell ref="EBG224:EBL224"/>
    <mergeCell ref="EBM224:EBR224"/>
    <mergeCell ref="DXO224:DXT224"/>
    <mergeCell ref="DXU224:DXZ224"/>
    <mergeCell ref="DYA224:DYF224"/>
    <mergeCell ref="DYG224:DYL224"/>
    <mergeCell ref="DYM224:DYR224"/>
    <mergeCell ref="DYS224:DYX224"/>
    <mergeCell ref="DYY224:DZD224"/>
    <mergeCell ref="DZE224:DZJ224"/>
    <mergeCell ref="DZK224:DZP224"/>
    <mergeCell ref="DVM224:DVR224"/>
    <mergeCell ref="DVS224:DVX224"/>
    <mergeCell ref="DVY224:DWD224"/>
    <mergeCell ref="DWE224:DWJ224"/>
    <mergeCell ref="DWK224:DWP224"/>
    <mergeCell ref="DWQ224:DWV224"/>
    <mergeCell ref="DWW224:DXB224"/>
    <mergeCell ref="DXC224:DXH224"/>
    <mergeCell ref="DXI224:DXN224"/>
    <mergeCell ref="DTK224:DTP224"/>
    <mergeCell ref="DTQ224:DTV224"/>
    <mergeCell ref="DTW224:DUB224"/>
    <mergeCell ref="DUC224:DUH224"/>
    <mergeCell ref="DUI224:DUN224"/>
    <mergeCell ref="DUO224:DUT224"/>
    <mergeCell ref="DUU224:DUZ224"/>
    <mergeCell ref="DVA224:DVF224"/>
    <mergeCell ref="DVG224:DVL224"/>
    <mergeCell ref="DRI224:DRN224"/>
    <mergeCell ref="DRO224:DRT224"/>
    <mergeCell ref="DRU224:DRZ224"/>
    <mergeCell ref="DSA224:DSF224"/>
    <mergeCell ref="DSG224:DSL224"/>
    <mergeCell ref="DSM224:DSR224"/>
    <mergeCell ref="DSS224:DSX224"/>
    <mergeCell ref="DSY224:DTD224"/>
    <mergeCell ref="DTE224:DTJ224"/>
    <mergeCell ref="DPG224:DPL224"/>
    <mergeCell ref="DPM224:DPR224"/>
    <mergeCell ref="DPS224:DPX224"/>
    <mergeCell ref="DPY224:DQD224"/>
    <mergeCell ref="DQE224:DQJ224"/>
    <mergeCell ref="DQK224:DQP224"/>
    <mergeCell ref="DQQ224:DQV224"/>
    <mergeCell ref="DQW224:DRB224"/>
    <mergeCell ref="DRC224:DRH224"/>
    <mergeCell ref="DNE224:DNJ224"/>
    <mergeCell ref="DNK224:DNP224"/>
    <mergeCell ref="DNQ224:DNV224"/>
    <mergeCell ref="DNW224:DOB224"/>
    <mergeCell ref="DOC224:DOH224"/>
    <mergeCell ref="DOI224:DON224"/>
    <mergeCell ref="DOO224:DOT224"/>
    <mergeCell ref="DOU224:DOZ224"/>
    <mergeCell ref="DPA224:DPF224"/>
    <mergeCell ref="DLC224:DLH224"/>
    <mergeCell ref="DLI224:DLN224"/>
    <mergeCell ref="DLO224:DLT224"/>
    <mergeCell ref="DLU224:DLZ224"/>
    <mergeCell ref="DMA224:DMF224"/>
    <mergeCell ref="DMG224:DML224"/>
    <mergeCell ref="DMM224:DMR224"/>
    <mergeCell ref="DMS224:DMX224"/>
    <mergeCell ref="DMY224:DND224"/>
    <mergeCell ref="DJA224:DJF224"/>
    <mergeCell ref="DJG224:DJL224"/>
    <mergeCell ref="DJM224:DJR224"/>
    <mergeCell ref="DJS224:DJX224"/>
    <mergeCell ref="DJY224:DKD224"/>
    <mergeCell ref="DKE224:DKJ224"/>
    <mergeCell ref="DKK224:DKP224"/>
    <mergeCell ref="DKQ224:DKV224"/>
    <mergeCell ref="DKW224:DLB224"/>
    <mergeCell ref="DGY224:DHD224"/>
    <mergeCell ref="DHE224:DHJ224"/>
    <mergeCell ref="DHK224:DHP224"/>
    <mergeCell ref="DHQ224:DHV224"/>
    <mergeCell ref="DHW224:DIB224"/>
    <mergeCell ref="DIC224:DIH224"/>
    <mergeCell ref="DII224:DIN224"/>
    <mergeCell ref="DIO224:DIT224"/>
    <mergeCell ref="DIU224:DIZ224"/>
    <mergeCell ref="DEW224:DFB224"/>
    <mergeCell ref="DFC224:DFH224"/>
    <mergeCell ref="DFI224:DFN224"/>
    <mergeCell ref="DFO224:DFT224"/>
    <mergeCell ref="DFU224:DFZ224"/>
    <mergeCell ref="DGA224:DGF224"/>
    <mergeCell ref="DGG224:DGL224"/>
    <mergeCell ref="DGM224:DGR224"/>
    <mergeCell ref="DGS224:DGX224"/>
    <mergeCell ref="DCU224:DCZ224"/>
    <mergeCell ref="DDA224:DDF224"/>
    <mergeCell ref="DDG224:DDL224"/>
    <mergeCell ref="DDM224:DDR224"/>
    <mergeCell ref="DDS224:DDX224"/>
    <mergeCell ref="DDY224:DED224"/>
    <mergeCell ref="DEE224:DEJ224"/>
    <mergeCell ref="DEK224:DEP224"/>
    <mergeCell ref="DEQ224:DEV224"/>
    <mergeCell ref="DAS224:DAX224"/>
    <mergeCell ref="DAY224:DBD224"/>
    <mergeCell ref="DBE224:DBJ224"/>
    <mergeCell ref="DBK224:DBP224"/>
    <mergeCell ref="DBQ224:DBV224"/>
    <mergeCell ref="DBW224:DCB224"/>
    <mergeCell ref="DCC224:DCH224"/>
    <mergeCell ref="DCI224:DCN224"/>
    <mergeCell ref="DCO224:DCT224"/>
    <mergeCell ref="CYQ224:CYV224"/>
    <mergeCell ref="CYW224:CZB224"/>
    <mergeCell ref="CZC224:CZH224"/>
    <mergeCell ref="CZI224:CZN224"/>
    <mergeCell ref="CZO224:CZT224"/>
    <mergeCell ref="CZU224:CZZ224"/>
    <mergeCell ref="DAA224:DAF224"/>
    <mergeCell ref="DAG224:DAL224"/>
    <mergeCell ref="DAM224:DAR224"/>
    <mergeCell ref="CWO224:CWT224"/>
    <mergeCell ref="CWU224:CWZ224"/>
    <mergeCell ref="CXA224:CXF224"/>
    <mergeCell ref="CXG224:CXL224"/>
    <mergeCell ref="CXM224:CXR224"/>
    <mergeCell ref="CXS224:CXX224"/>
    <mergeCell ref="CXY224:CYD224"/>
    <mergeCell ref="CYE224:CYJ224"/>
    <mergeCell ref="CYK224:CYP224"/>
    <mergeCell ref="CUM224:CUR224"/>
    <mergeCell ref="CUS224:CUX224"/>
    <mergeCell ref="CUY224:CVD224"/>
    <mergeCell ref="CVE224:CVJ224"/>
    <mergeCell ref="CVK224:CVP224"/>
    <mergeCell ref="CVQ224:CVV224"/>
    <mergeCell ref="CVW224:CWB224"/>
    <mergeCell ref="CWC224:CWH224"/>
    <mergeCell ref="CWI224:CWN224"/>
    <mergeCell ref="CSK224:CSP224"/>
    <mergeCell ref="CSQ224:CSV224"/>
    <mergeCell ref="CSW224:CTB224"/>
    <mergeCell ref="CTC224:CTH224"/>
    <mergeCell ref="CTI224:CTN224"/>
    <mergeCell ref="CTO224:CTT224"/>
    <mergeCell ref="CTU224:CTZ224"/>
    <mergeCell ref="CUA224:CUF224"/>
    <mergeCell ref="CUG224:CUL224"/>
    <mergeCell ref="CQI224:CQN224"/>
    <mergeCell ref="CQO224:CQT224"/>
    <mergeCell ref="CQU224:CQZ224"/>
    <mergeCell ref="CRA224:CRF224"/>
    <mergeCell ref="CRG224:CRL224"/>
    <mergeCell ref="CRM224:CRR224"/>
    <mergeCell ref="CRS224:CRX224"/>
    <mergeCell ref="CRY224:CSD224"/>
    <mergeCell ref="CSE224:CSJ224"/>
    <mergeCell ref="COG224:COL224"/>
    <mergeCell ref="COM224:COR224"/>
    <mergeCell ref="COS224:COX224"/>
    <mergeCell ref="COY224:CPD224"/>
    <mergeCell ref="CPE224:CPJ224"/>
    <mergeCell ref="CPK224:CPP224"/>
    <mergeCell ref="CPQ224:CPV224"/>
    <mergeCell ref="CPW224:CQB224"/>
    <mergeCell ref="CQC224:CQH224"/>
    <mergeCell ref="CME224:CMJ224"/>
    <mergeCell ref="CMK224:CMP224"/>
    <mergeCell ref="CMQ224:CMV224"/>
    <mergeCell ref="CMW224:CNB224"/>
    <mergeCell ref="CNC224:CNH224"/>
    <mergeCell ref="CNI224:CNN224"/>
    <mergeCell ref="CNO224:CNT224"/>
    <mergeCell ref="CNU224:CNZ224"/>
    <mergeCell ref="COA224:COF224"/>
    <mergeCell ref="CKC224:CKH224"/>
    <mergeCell ref="CKI224:CKN224"/>
    <mergeCell ref="CKO224:CKT224"/>
    <mergeCell ref="CKU224:CKZ224"/>
    <mergeCell ref="CLA224:CLF224"/>
    <mergeCell ref="CLG224:CLL224"/>
    <mergeCell ref="CLM224:CLR224"/>
    <mergeCell ref="CLS224:CLX224"/>
    <mergeCell ref="CLY224:CMD224"/>
    <mergeCell ref="CIA224:CIF224"/>
    <mergeCell ref="CIG224:CIL224"/>
    <mergeCell ref="CIM224:CIR224"/>
    <mergeCell ref="CIS224:CIX224"/>
    <mergeCell ref="CIY224:CJD224"/>
    <mergeCell ref="CJE224:CJJ224"/>
    <mergeCell ref="CJK224:CJP224"/>
    <mergeCell ref="CJQ224:CJV224"/>
    <mergeCell ref="CJW224:CKB224"/>
    <mergeCell ref="CFY224:CGD224"/>
    <mergeCell ref="CGE224:CGJ224"/>
    <mergeCell ref="CGK224:CGP224"/>
    <mergeCell ref="CGQ224:CGV224"/>
    <mergeCell ref="CGW224:CHB224"/>
    <mergeCell ref="CHC224:CHH224"/>
    <mergeCell ref="CHI224:CHN224"/>
    <mergeCell ref="CHO224:CHT224"/>
    <mergeCell ref="CHU224:CHZ224"/>
    <mergeCell ref="CDW224:CEB224"/>
    <mergeCell ref="CEC224:CEH224"/>
    <mergeCell ref="CEI224:CEN224"/>
    <mergeCell ref="CEO224:CET224"/>
    <mergeCell ref="CEU224:CEZ224"/>
    <mergeCell ref="CFA224:CFF224"/>
    <mergeCell ref="CFG224:CFL224"/>
    <mergeCell ref="CFM224:CFR224"/>
    <mergeCell ref="CFS224:CFX224"/>
    <mergeCell ref="CBU224:CBZ224"/>
    <mergeCell ref="CCA224:CCF224"/>
    <mergeCell ref="CCG224:CCL224"/>
    <mergeCell ref="CCM224:CCR224"/>
    <mergeCell ref="CCS224:CCX224"/>
    <mergeCell ref="CCY224:CDD224"/>
    <mergeCell ref="CDE224:CDJ224"/>
    <mergeCell ref="CDK224:CDP224"/>
    <mergeCell ref="CDQ224:CDV224"/>
    <mergeCell ref="BZS224:BZX224"/>
    <mergeCell ref="BZY224:CAD224"/>
    <mergeCell ref="CAE224:CAJ224"/>
    <mergeCell ref="CAK224:CAP224"/>
    <mergeCell ref="CAQ224:CAV224"/>
    <mergeCell ref="CAW224:CBB224"/>
    <mergeCell ref="CBC224:CBH224"/>
    <mergeCell ref="CBI224:CBN224"/>
    <mergeCell ref="CBO224:CBT224"/>
    <mergeCell ref="BXQ224:BXV224"/>
    <mergeCell ref="BXW224:BYB224"/>
    <mergeCell ref="BYC224:BYH224"/>
    <mergeCell ref="BYI224:BYN224"/>
    <mergeCell ref="BYO224:BYT224"/>
    <mergeCell ref="BYU224:BYZ224"/>
    <mergeCell ref="BZA224:BZF224"/>
    <mergeCell ref="BZG224:BZL224"/>
    <mergeCell ref="BZM224:BZR224"/>
    <mergeCell ref="BVO224:BVT224"/>
    <mergeCell ref="BVU224:BVZ224"/>
    <mergeCell ref="BWA224:BWF224"/>
    <mergeCell ref="BWG224:BWL224"/>
    <mergeCell ref="BWM224:BWR224"/>
    <mergeCell ref="BWS224:BWX224"/>
    <mergeCell ref="BWY224:BXD224"/>
    <mergeCell ref="BXE224:BXJ224"/>
    <mergeCell ref="BXK224:BXP224"/>
    <mergeCell ref="BTM224:BTR224"/>
    <mergeCell ref="BTS224:BTX224"/>
    <mergeCell ref="BTY224:BUD224"/>
    <mergeCell ref="BUE224:BUJ224"/>
    <mergeCell ref="BUK224:BUP224"/>
    <mergeCell ref="BUQ224:BUV224"/>
    <mergeCell ref="BUW224:BVB224"/>
    <mergeCell ref="BVC224:BVH224"/>
    <mergeCell ref="BVI224:BVN224"/>
    <mergeCell ref="BRK224:BRP224"/>
    <mergeCell ref="BRQ224:BRV224"/>
    <mergeCell ref="BRW224:BSB224"/>
    <mergeCell ref="BSC224:BSH224"/>
    <mergeCell ref="BSI224:BSN224"/>
    <mergeCell ref="BSO224:BST224"/>
    <mergeCell ref="BSU224:BSZ224"/>
    <mergeCell ref="BTA224:BTF224"/>
    <mergeCell ref="BTG224:BTL224"/>
    <mergeCell ref="BPI224:BPN224"/>
    <mergeCell ref="BPO224:BPT224"/>
    <mergeCell ref="BPU224:BPZ224"/>
    <mergeCell ref="BQA224:BQF224"/>
    <mergeCell ref="BQG224:BQL224"/>
    <mergeCell ref="BQM224:BQR224"/>
    <mergeCell ref="BQS224:BQX224"/>
    <mergeCell ref="BQY224:BRD224"/>
    <mergeCell ref="BRE224:BRJ224"/>
    <mergeCell ref="BNG224:BNL224"/>
    <mergeCell ref="BNM224:BNR224"/>
    <mergeCell ref="BNS224:BNX224"/>
    <mergeCell ref="BNY224:BOD224"/>
    <mergeCell ref="BOE224:BOJ224"/>
    <mergeCell ref="BOK224:BOP224"/>
    <mergeCell ref="BOQ224:BOV224"/>
    <mergeCell ref="BOW224:BPB224"/>
    <mergeCell ref="BPC224:BPH224"/>
    <mergeCell ref="BLE224:BLJ224"/>
    <mergeCell ref="BLK224:BLP224"/>
    <mergeCell ref="BLQ224:BLV224"/>
    <mergeCell ref="BLW224:BMB224"/>
    <mergeCell ref="BMC224:BMH224"/>
    <mergeCell ref="BMI224:BMN224"/>
    <mergeCell ref="BMO224:BMT224"/>
    <mergeCell ref="BMU224:BMZ224"/>
    <mergeCell ref="BNA224:BNF224"/>
    <mergeCell ref="BJC224:BJH224"/>
    <mergeCell ref="BJI224:BJN224"/>
    <mergeCell ref="BJO224:BJT224"/>
    <mergeCell ref="BJU224:BJZ224"/>
    <mergeCell ref="BKA224:BKF224"/>
    <mergeCell ref="BKG224:BKL224"/>
    <mergeCell ref="BKM224:BKR224"/>
    <mergeCell ref="BKS224:BKX224"/>
    <mergeCell ref="BKY224:BLD224"/>
    <mergeCell ref="BHA224:BHF224"/>
    <mergeCell ref="BHG224:BHL224"/>
    <mergeCell ref="BHM224:BHR224"/>
    <mergeCell ref="BHS224:BHX224"/>
    <mergeCell ref="BHY224:BID224"/>
    <mergeCell ref="BIE224:BIJ224"/>
    <mergeCell ref="BIK224:BIP224"/>
    <mergeCell ref="BIQ224:BIV224"/>
    <mergeCell ref="BIW224:BJB224"/>
    <mergeCell ref="BEY224:BFD224"/>
    <mergeCell ref="BFE224:BFJ224"/>
    <mergeCell ref="BFK224:BFP224"/>
    <mergeCell ref="BFQ224:BFV224"/>
    <mergeCell ref="BFW224:BGB224"/>
    <mergeCell ref="BGC224:BGH224"/>
    <mergeCell ref="BGI224:BGN224"/>
    <mergeCell ref="BGO224:BGT224"/>
    <mergeCell ref="BGU224:BGZ224"/>
    <mergeCell ref="BCW224:BDB224"/>
    <mergeCell ref="BDC224:BDH224"/>
    <mergeCell ref="BDI224:BDN224"/>
    <mergeCell ref="BDO224:BDT224"/>
    <mergeCell ref="BDU224:BDZ224"/>
    <mergeCell ref="BEA224:BEF224"/>
    <mergeCell ref="BEG224:BEL224"/>
    <mergeCell ref="BEM224:BER224"/>
    <mergeCell ref="BES224:BEX224"/>
    <mergeCell ref="BAU224:BAZ224"/>
    <mergeCell ref="BBA224:BBF224"/>
    <mergeCell ref="BBG224:BBL224"/>
    <mergeCell ref="BBM224:BBR224"/>
    <mergeCell ref="BBS224:BBX224"/>
    <mergeCell ref="BBY224:BCD224"/>
    <mergeCell ref="BCE224:BCJ224"/>
    <mergeCell ref="BCK224:BCP224"/>
    <mergeCell ref="BCQ224:BCV224"/>
    <mergeCell ref="AYS224:AYX224"/>
    <mergeCell ref="AYY224:AZD224"/>
    <mergeCell ref="AZE224:AZJ224"/>
    <mergeCell ref="AZK224:AZP224"/>
    <mergeCell ref="AZQ224:AZV224"/>
    <mergeCell ref="AZW224:BAB224"/>
    <mergeCell ref="BAC224:BAH224"/>
    <mergeCell ref="BAI224:BAN224"/>
    <mergeCell ref="BAO224:BAT224"/>
    <mergeCell ref="AWQ224:AWV224"/>
    <mergeCell ref="AWW224:AXB224"/>
    <mergeCell ref="AXC224:AXH224"/>
    <mergeCell ref="AXI224:AXN224"/>
    <mergeCell ref="AXO224:AXT224"/>
    <mergeCell ref="AXU224:AXZ224"/>
    <mergeCell ref="AYA224:AYF224"/>
    <mergeCell ref="AYG224:AYL224"/>
    <mergeCell ref="AYM224:AYR224"/>
    <mergeCell ref="AUO224:AUT224"/>
    <mergeCell ref="AUU224:AUZ224"/>
    <mergeCell ref="AVA224:AVF224"/>
    <mergeCell ref="AVG224:AVL224"/>
    <mergeCell ref="AVM224:AVR224"/>
    <mergeCell ref="AVS224:AVX224"/>
    <mergeCell ref="AVY224:AWD224"/>
    <mergeCell ref="AWE224:AWJ224"/>
    <mergeCell ref="AWK224:AWP224"/>
    <mergeCell ref="ASM224:ASR224"/>
    <mergeCell ref="ASS224:ASX224"/>
    <mergeCell ref="ASY224:ATD224"/>
    <mergeCell ref="ATE224:ATJ224"/>
    <mergeCell ref="ATK224:ATP224"/>
    <mergeCell ref="ATQ224:ATV224"/>
    <mergeCell ref="ATW224:AUB224"/>
    <mergeCell ref="AUC224:AUH224"/>
    <mergeCell ref="AUI224:AUN224"/>
    <mergeCell ref="AQK224:AQP224"/>
    <mergeCell ref="AQQ224:AQV224"/>
    <mergeCell ref="AQW224:ARB224"/>
    <mergeCell ref="ARC224:ARH224"/>
    <mergeCell ref="ARI224:ARN224"/>
    <mergeCell ref="ARO224:ART224"/>
    <mergeCell ref="ARU224:ARZ224"/>
    <mergeCell ref="ASA224:ASF224"/>
    <mergeCell ref="ASG224:ASL224"/>
    <mergeCell ref="AOI224:AON224"/>
    <mergeCell ref="AOO224:AOT224"/>
    <mergeCell ref="AOU224:AOZ224"/>
    <mergeCell ref="APA224:APF224"/>
    <mergeCell ref="APG224:APL224"/>
    <mergeCell ref="APM224:APR224"/>
    <mergeCell ref="APS224:APX224"/>
    <mergeCell ref="APY224:AQD224"/>
    <mergeCell ref="AQE224:AQJ224"/>
    <mergeCell ref="AMG224:AML224"/>
    <mergeCell ref="AMM224:AMR224"/>
    <mergeCell ref="AMS224:AMX224"/>
    <mergeCell ref="AMY224:AND224"/>
    <mergeCell ref="ANE224:ANJ224"/>
    <mergeCell ref="ANK224:ANP224"/>
    <mergeCell ref="ANQ224:ANV224"/>
    <mergeCell ref="ANW224:AOB224"/>
    <mergeCell ref="AOC224:AOH224"/>
    <mergeCell ref="AKE224:AKJ224"/>
    <mergeCell ref="AKK224:AKP224"/>
    <mergeCell ref="AKQ224:AKV224"/>
    <mergeCell ref="AKW224:ALB224"/>
    <mergeCell ref="ALC224:ALH224"/>
    <mergeCell ref="ALI224:ALN224"/>
    <mergeCell ref="ALO224:ALT224"/>
    <mergeCell ref="ALU224:ALZ224"/>
    <mergeCell ref="AMA224:AMF224"/>
    <mergeCell ref="AIC224:AIH224"/>
    <mergeCell ref="AII224:AIN224"/>
    <mergeCell ref="AIO224:AIT224"/>
    <mergeCell ref="AIU224:AIZ224"/>
    <mergeCell ref="AJA224:AJF224"/>
    <mergeCell ref="AJG224:AJL224"/>
    <mergeCell ref="AJM224:AJR224"/>
    <mergeCell ref="AJS224:AJX224"/>
    <mergeCell ref="AJY224:AKD224"/>
    <mergeCell ref="AGA224:AGF224"/>
    <mergeCell ref="AGG224:AGL224"/>
    <mergeCell ref="AGM224:AGR224"/>
    <mergeCell ref="AGS224:AGX224"/>
    <mergeCell ref="AGY224:AHD224"/>
    <mergeCell ref="AHE224:AHJ224"/>
    <mergeCell ref="AHK224:AHP224"/>
    <mergeCell ref="AHQ224:AHV224"/>
    <mergeCell ref="AHW224:AIB224"/>
    <mergeCell ref="ADY224:AED224"/>
    <mergeCell ref="AEE224:AEJ224"/>
    <mergeCell ref="AEK224:AEP224"/>
    <mergeCell ref="AEQ224:AEV224"/>
    <mergeCell ref="AEW224:AFB224"/>
    <mergeCell ref="AFC224:AFH224"/>
    <mergeCell ref="AFI224:AFN224"/>
    <mergeCell ref="AFO224:AFT224"/>
    <mergeCell ref="AFU224:AFZ224"/>
    <mergeCell ref="ACC224:ACH224"/>
    <mergeCell ref="ACI224:ACN224"/>
    <mergeCell ref="ACO224:ACT224"/>
    <mergeCell ref="ACU224:ACZ224"/>
    <mergeCell ref="ADA224:ADF224"/>
    <mergeCell ref="ADG224:ADL224"/>
    <mergeCell ref="ADM224:ADR224"/>
    <mergeCell ref="ADS224:ADX224"/>
    <mergeCell ref="ZU224:ZZ224"/>
    <mergeCell ref="AAA224:AAF224"/>
    <mergeCell ref="AAG224:AAL224"/>
    <mergeCell ref="AAM224:AAR224"/>
    <mergeCell ref="AAS224:AAX224"/>
    <mergeCell ref="AAY224:ABD224"/>
    <mergeCell ref="ABE224:ABJ224"/>
    <mergeCell ref="ABK224:ABP224"/>
    <mergeCell ref="ABQ224:ABV224"/>
    <mergeCell ref="YE224:YJ224"/>
    <mergeCell ref="YK224:YP224"/>
    <mergeCell ref="YQ224:YV224"/>
    <mergeCell ref="YW224:ZB224"/>
    <mergeCell ref="ZC224:ZH224"/>
    <mergeCell ref="ZI224:ZN224"/>
    <mergeCell ref="ZO224:ZT224"/>
    <mergeCell ref="VQ224:VV224"/>
    <mergeCell ref="VW224:WB224"/>
    <mergeCell ref="WC224:WH224"/>
    <mergeCell ref="WI224:WN224"/>
    <mergeCell ref="WO224:WT224"/>
    <mergeCell ref="WU224:WZ224"/>
    <mergeCell ref="XA224:XF224"/>
    <mergeCell ref="XG224:XL224"/>
    <mergeCell ref="XM224:XR224"/>
    <mergeCell ref="ABW224:ACB224"/>
    <mergeCell ref="UG224:UL224"/>
    <mergeCell ref="UM224:UR224"/>
    <mergeCell ref="US224:UX224"/>
    <mergeCell ref="UY224:VD224"/>
    <mergeCell ref="VE224:VJ224"/>
    <mergeCell ref="VK224:VP224"/>
    <mergeCell ref="RM224:RR224"/>
    <mergeCell ref="RS224:RX224"/>
    <mergeCell ref="RY224:SD224"/>
    <mergeCell ref="SE224:SJ224"/>
    <mergeCell ref="SK224:SP224"/>
    <mergeCell ref="SQ224:SV224"/>
    <mergeCell ref="SW224:TB224"/>
    <mergeCell ref="TC224:TH224"/>
    <mergeCell ref="TI224:TN224"/>
    <mergeCell ref="XS224:XX224"/>
    <mergeCell ref="XY224:YD224"/>
    <mergeCell ref="QI224:QN224"/>
    <mergeCell ref="QO224:QT224"/>
    <mergeCell ref="QU224:QZ224"/>
    <mergeCell ref="RA224:RF224"/>
    <mergeCell ref="RG224:RL224"/>
    <mergeCell ref="NI224:NN224"/>
    <mergeCell ref="NO224:NT224"/>
    <mergeCell ref="NU224:NZ224"/>
    <mergeCell ref="OA224:OF224"/>
    <mergeCell ref="OG224:OL224"/>
    <mergeCell ref="OM224:OR224"/>
    <mergeCell ref="OS224:OX224"/>
    <mergeCell ref="OY224:PD224"/>
    <mergeCell ref="PE224:PJ224"/>
    <mergeCell ref="TO224:TT224"/>
    <mergeCell ref="TU224:TZ224"/>
    <mergeCell ref="UA224:UF224"/>
    <mergeCell ref="NC224:NH224"/>
    <mergeCell ref="JE224:JJ224"/>
    <mergeCell ref="JK224:JP224"/>
    <mergeCell ref="JQ224:JV224"/>
    <mergeCell ref="JW224:KB224"/>
    <mergeCell ref="KC224:KH224"/>
    <mergeCell ref="KI224:KN224"/>
    <mergeCell ref="KO224:KT224"/>
    <mergeCell ref="KU224:KZ224"/>
    <mergeCell ref="LA224:LF224"/>
    <mergeCell ref="IM224:IR224"/>
    <mergeCell ref="IS224:IX224"/>
    <mergeCell ref="LG224:LL224"/>
    <mergeCell ref="PK224:PP224"/>
    <mergeCell ref="PQ224:PV224"/>
    <mergeCell ref="PW224:QB224"/>
    <mergeCell ref="QC224:QH224"/>
    <mergeCell ref="IY224:JD224"/>
    <mergeCell ref="LM224:LR224"/>
    <mergeCell ref="LS224:LX224"/>
    <mergeCell ref="D127:F127"/>
    <mergeCell ref="D155:F155"/>
    <mergeCell ref="LY224:MD224"/>
    <mergeCell ref="ME224:MJ224"/>
    <mergeCell ref="HC224:HH224"/>
    <mergeCell ref="HI224:HN224"/>
    <mergeCell ref="HO224:HT224"/>
    <mergeCell ref="HU224:HZ224"/>
    <mergeCell ref="IA224:IF224"/>
    <mergeCell ref="IG224:IL224"/>
    <mergeCell ref="MK224:MP224"/>
    <mergeCell ref="MQ224:MV224"/>
    <mergeCell ref="MW224:NB224"/>
    <mergeCell ref="D135:F135"/>
    <mergeCell ref="B130:C130"/>
    <mergeCell ref="D130:F130"/>
    <mergeCell ref="B131:C131"/>
    <mergeCell ref="D131:F131"/>
    <mergeCell ref="B138:C138"/>
    <mergeCell ref="D138:F138"/>
    <mergeCell ref="B139:C139"/>
    <mergeCell ref="D139:F139"/>
    <mergeCell ref="B142:C142"/>
    <mergeCell ref="D142:F142"/>
    <mergeCell ref="B143:C143"/>
    <mergeCell ref="D168:F168"/>
    <mergeCell ref="B175:C175"/>
    <mergeCell ref="D175:F175"/>
    <mergeCell ref="B157:C157"/>
    <mergeCell ref="D157:F157"/>
    <mergeCell ref="B141:C141"/>
    <mergeCell ref="CY224:DD224"/>
    <mergeCell ref="B125:C125"/>
    <mergeCell ref="D125:F125"/>
    <mergeCell ref="B129:C129"/>
    <mergeCell ref="D129:F129"/>
    <mergeCell ref="B99:C99"/>
    <mergeCell ref="D99:F99"/>
    <mergeCell ref="B100:C100"/>
    <mergeCell ref="D100:F100"/>
    <mergeCell ref="B87:C87"/>
    <mergeCell ref="D86:F86"/>
    <mergeCell ref="B149:C149"/>
    <mergeCell ref="D149:F149"/>
    <mergeCell ref="B145:C145"/>
    <mergeCell ref="B178:C178"/>
    <mergeCell ref="B102:C102"/>
    <mergeCell ref="D102:F102"/>
    <mergeCell ref="D97:F97"/>
    <mergeCell ref="B98:C98"/>
    <mergeCell ref="D98:F98"/>
    <mergeCell ref="B89:C89"/>
    <mergeCell ref="D89:F89"/>
    <mergeCell ref="B90:C90"/>
    <mergeCell ref="D90:F90"/>
    <mergeCell ref="B91:C91"/>
    <mergeCell ref="D91:F91"/>
    <mergeCell ref="D150:F150"/>
    <mergeCell ref="B159:C159"/>
    <mergeCell ref="D159:F159"/>
    <mergeCell ref="B176:C176"/>
    <mergeCell ref="D176:F176"/>
    <mergeCell ref="B177:C177"/>
    <mergeCell ref="B127:C127"/>
    <mergeCell ref="DE224:DJ224"/>
    <mergeCell ref="DK224:DP224"/>
    <mergeCell ref="FA224:FF224"/>
    <mergeCell ref="FG224:FL224"/>
    <mergeCell ref="FM224:FR224"/>
    <mergeCell ref="D152:F152"/>
    <mergeCell ref="B156:C156"/>
    <mergeCell ref="D156:F156"/>
    <mergeCell ref="FS224:FX224"/>
    <mergeCell ref="FY224:GD224"/>
    <mergeCell ref="GE224:GJ224"/>
    <mergeCell ref="GK224:GP224"/>
    <mergeCell ref="GQ224:GV224"/>
    <mergeCell ref="GW224:HB224"/>
    <mergeCell ref="B197:C197"/>
    <mergeCell ref="D197:F197"/>
    <mergeCell ref="D192:F192"/>
    <mergeCell ref="B193:C193"/>
    <mergeCell ref="D193:F193"/>
    <mergeCell ref="B194:C194"/>
    <mergeCell ref="D194:F194"/>
    <mergeCell ref="B170:C170"/>
    <mergeCell ref="D170:F170"/>
    <mergeCell ref="B171:C171"/>
    <mergeCell ref="D171:F171"/>
    <mergeCell ref="D178:F178"/>
    <mergeCell ref="B205:G205"/>
    <mergeCell ref="B183:C183"/>
    <mergeCell ref="D183:F183"/>
    <mergeCell ref="B195:C195"/>
    <mergeCell ref="B152:C152"/>
    <mergeCell ref="I205:I206"/>
    <mergeCell ref="L31:O31"/>
    <mergeCell ref="H29:O29"/>
    <mergeCell ref="B103:C103"/>
    <mergeCell ref="D103:F103"/>
    <mergeCell ref="B105:C105"/>
    <mergeCell ref="D105:F105"/>
    <mergeCell ref="DQ224:DV224"/>
    <mergeCell ref="DW224:EB224"/>
    <mergeCell ref="EC224:EH224"/>
    <mergeCell ref="EI224:EN224"/>
    <mergeCell ref="EO224:ET224"/>
    <mergeCell ref="EU224:EZ224"/>
    <mergeCell ref="AW224:BB224"/>
    <mergeCell ref="BC224:BH224"/>
    <mergeCell ref="BI224:BN224"/>
    <mergeCell ref="BO224:BT224"/>
    <mergeCell ref="BU224:BZ224"/>
    <mergeCell ref="CA224:CF224"/>
    <mergeCell ref="CG224:CL224"/>
    <mergeCell ref="CM224:CR224"/>
    <mergeCell ref="CS224:CX224"/>
    <mergeCell ref="D147:F147"/>
    <mergeCell ref="B148:C148"/>
    <mergeCell ref="AQ224:AV224"/>
    <mergeCell ref="B68:C68"/>
    <mergeCell ref="D68:F68"/>
    <mergeCell ref="B75:C75"/>
    <mergeCell ref="D75:F75"/>
    <mergeCell ref="D186:F186"/>
    <mergeCell ref="B187:C187"/>
    <mergeCell ref="D187:F187"/>
    <mergeCell ref="B168:C168"/>
    <mergeCell ref="B2:G2"/>
    <mergeCell ref="A224:F224"/>
    <mergeCell ref="G224:L224"/>
    <mergeCell ref="M224:R224"/>
    <mergeCell ref="S224:X224"/>
    <mergeCell ref="Y224:AD224"/>
    <mergeCell ref="AE224:AJ224"/>
    <mergeCell ref="AK224:AP224"/>
    <mergeCell ref="C16:G16"/>
    <mergeCell ref="C17:G17"/>
    <mergeCell ref="B8:G8"/>
    <mergeCell ref="C21:G21"/>
    <mergeCell ref="C22:G22"/>
    <mergeCell ref="B5:G5"/>
    <mergeCell ref="B56:C56"/>
    <mergeCell ref="D56:F56"/>
    <mergeCell ref="D45:F45"/>
    <mergeCell ref="D46:F46"/>
    <mergeCell ref="B54:C54"/>
    <mergeCell ref="B61:C61"/>
    <mergeCell ref="B45:C45"/>
    <mergeCell ref="B46:C46"/>
    <mergeCell ref="D33:F33"/>
    <mergeCell ref="B34:C34"/>
    <mergeCell ref="H32:K32"/>
    <mergeCell ref="B42:C42"/>
    <mergeCell ref="B35:C35"/>
    <mergeCell ref="B39:C39"/>
    <mergeCell ref="D195:F195"/>
    <mergeCell ref="B196:C196"/>
    <mergeCell ref="D196:F196"/>
    <mergeCell ref="H31:K31"/>
    <mergeCell ref="H43:K61"/>
    <mergeCell ref="D47:F47"/>
    <mergeCell ref="D49:F49"/>
    <mergeCell ref="D35:F35"/>
    <mergeCell ref="B32:C32"/>
    <mergeCell ref="D32:F32"/>
    <mergeCell ref="D51:F51"/>
    <mergeCell ref="D42:F42"/>
    <mergeCell ref="B33:C33"/>
    <mergeCell ref="D43:F43"/>
    <mergeCell ref="D44:F44"/>
    <mergeCell ref="D38:F38"/>
    <mergeCell ref="B47:C47"/>
    <mergeCell ref="D34:F34"/>
    <mergeCell ref="D55:F55"/>
    <mergeCell ref="D41:F41"/>
    <mergeCell ref="B44:C44"/>
    <mergeCell ref="B55:C55"/>
    <mergeCell ref="B38:C38"/>
    <mergeCell ref="B49:C49"/>
    <mergeCell ref="B43:C43"/>
    <mergeCell ref="D50:F50"/>
    <mergeCell ref="D52:F52"/>
    <mergeCell ref="B52:C52"/>
    <mergeCell ref="B53:C53"/>
    <mergeCell ref="D53:F53"/>
    <mergeCell ref="D39:F39"/>
    <mergeCell ref="B40:C40"/>
    <mergeCell ref="D40:F40"/>
    <mergeCell ref="D3:G3"/>
    <mergeCell ref="B4:G4"/>
    <mergeCell ref="B6:G6"/>
    <mergeCell ref="B12:G12"/>
    <mergeCell ref="B28:G28"/>
    <mergeCell ref="B7:G7"/>
    <mergeCell ref="B10:G10"/>
    <mergeCell ref="B11:G11"/>
    <mergeCell ref="B31:C31"/>
    <mergeCell ref="D31:F31"/>
    <mergeCell ref="C23:G23"/>
    <mergeCell ref="C24:G24"/>
    <mergeCell ref="C25:G25"/>
    <mergeCell ref="C26:G26"/>
    <mergeCell ref="C27:G27"/>
    <mergeCell ref="C19:G19"/>
    <mergeCell ref="C20:G20"/>
    <mergeCell ref="B3:C3"/>
    <mergeCell ref="C14:G14"/>
    <mergeCell ref="C15:G15"/>
    <mergeCell ref="C18:G18"/>
    <mergeCell ref="B9:G9"/>
    <mergeCell ref="B29:G29"/>
    <mergeCell ref="B30:G30"/>
    <mergeCell ref="C13:G13"/>
    <mergeCell ref="D64:F64"/>
    <mergeCell ref="B65:C65"/>
    <mergeCell ref="D65:F65"/>
    <mergeCell ref="D61:F61"/>
    <mergeCell ref="B50:C50"/>
    <mergeCell ref="B51:C51"/>
    <mergeCell ref="B66:C66"/>
    <mergeCell ref="B48:C48"/>
    <mergeCell ref="D48:F48"/>
    <mergeCell ref="B64:C64"/>
    <mergeCell ref="B58:C58"/>
    <mergeCell ref="D58:F58"/>
    <mergeCell ref="B59:C59"/>
    <mergeCell ref="D59:F59"/>
    <mergeCell ref="D84:F84"/>
    <mergeCell ref="B70:C70"/>
    <mergeCell ref="D70:F70"/>
    <mergeCell ref="B71:C71"/>
    <mergeCell ref="D71:F71"/>
    <mergeCell ref="B74:C74"/>
    <mergeCell ref="B72:C72"/>
    <mergeCell ref="B78:C78"/>
    <mergeCell ref="D78:F78"/>
    <mergeCell ref="D66:F66"/>
    <mergeCell ref="D54:F54"/>
    <mergeCell ref="D63:F63"/>
    <mergeCell ref="B62:C62"/>
    <mergeCell ref="D62:F62"/>
    <mergeCell ref="B60:C60"/>
    <mergeCell ref="D60:F60"/>
    <mergeCell ref="D81:F81"/>
    <mergeCell ref="B82:C82"/>
    <mergeCell ref="B79:C79"/>
    <mergeCell ref="D79:F79"/>
    <mergeCell ref="D93:F93"/>
    <mergeCell ref="B94:C94"/>
    <mergeCell ref="D94:F94"/>
    <mergeCell ref="B95:C95"/>
    <mergeCell ref="D95:F95"/>
    <mergeCell ref="B97:C97"/>
    <mergeCell ref="D87:F87"/>
    <mergeCell ref="B85:C85"/>
    <mergeCell ref="D85:F85"/>
    <mergeCell ref="B84:C84"/>
    <mergeCell ref="B73:C73"/>
    <mergeCell ref="D73:F73"/>
    <mergeCell ref="B80:C80"/>
    <mergeCell ref="D80:F80"/>
    <mergeCell ref="D74:F74"/>
    <mergeCell ref="B77:C77"/>
    <mergeCell ref="D77:F77"/>
    <mergeCell ref="B86:C86"/>
    <mergeCell ref="B258:G258"/>
    <mergeCell ref="E247:G247"/>
    <mergeCell ref="B201:C201"/>
    <mergeCell ref="D200:F200"/>
    <mergeCell ref="B136:C136"/>
    <mergeCell ref="D136:F136"/>
    <mergeCell ref="B137:C137"/>
    <mergeCell ref="D137:F137"/>
    <mergeCell ref="B146:C146"/>
    <mergeCell ref="D148:F148"/>
    <mergeCell ref="E245:G245"/>
    <mergeCell ref="E246:G246"/>
    <mergeCell ref="B226:G226"/>
    <mergeCell ref="C220:G220"/>
    <mergeCell ref="C221:G221"/>
    <mergeCell ref="D146:F146"/>
    <mergeCell ref="D145:F145"/>
    <mergeCell ref="B153:C153"/>
    <mergeCell ref="D153:F153"/>
    <mergeCell ref="B174:C174"/>
    <mergeCell ref="D174:F174"/>
    <mergeCell ref="B164:C164"/>
    <mergeCell ref="D164:F164"/>
    <mergeCell ref="B165:C165"/>
    <mergeCell ref="D165:F165"/>
    <mergeCell ref="D167:F167"/>
    <mergeCell ref="B169:C169"/>
    <mergeCell ref="D169:F169"/>
    <mergeCell ref="B199:C199"/>
    <mergeCell ref="B228:D228"/>
    <mergeCell ref="B229:D229"/>
    <mergeCell ref="D141:F141"/>
    <mergeCell ref="B231:D231"/>
    <mergeCell ref="E243:G243"/>
    <mergeCell ref="E244:G244"/>
    <mergeCell ref="B172:C172"/>
    <mergeCell ref="C274:D274"/>
    <mergeCell ref="B250:G250"/>
    <mergeCell ref="B259:G259"/>
    <mergeCell ref="B255:C255"/>
    <mergeCell ref="B251:D251"/>
    <mergeCell ref="B249:G249"/>
    <mergeCell ref="C262:D262"/>
    <mergeCell ref="C257:D257"/>
    <mergeCell ref="B256:C256"/>
    <mergeCell ref="F251:G253"/>
    <mergeCell ref="B265:G265"/>
    <mergeCell ref="B266:C266"/>
    <mergeCell ref="B267:C267"/>
    <mergeCell ref="C268:D268"/>
    <mergeCell ref="B271:G271"/>
    <mergeCell ref="B272:C272"/>
    <mergeCell ref="B273:C273"/>
    <mergeCell ref="B261:C261"/>
    <mergeCell ref="B185:C185"/>
    <mergeCell ref="D185:F185"/>
    <mergeCell ref="B186:C186"/>
    <mergeCell ref="E238:G238"/>
    <mergeCell ref="E239:G239"/>
    <mergeCell ref="C208:G208"/>
    <mergeCell ref="C209:G209"/>
    <mergeCell ref="B200:C200"/>
    <mergeCell ref="E233:G233"/>
    <mergeCell ref="B260:C260"/>
    <mergeCell ref="B248:G248"/>
    <mergeCell ref="B236:D236"/>
    <mergeCell ref="B246:D246"/>
    <mergeCell ref="B247:D247"/>
    <mergeCell ref="B237:D237"/>
    <mergeCell ref="B238:D238"/>
    <mergeCell ref="B239:D239"/>
    <mergeCell ref="B240:D240"/>
    <mergeCell ref="B241:D241"/>
    <mergeCell ref="B242:D242"/>
    <mergeCell ref="B243:D243"/>
    <mergeCell ref="B244:D244"/>
    <mergeCell ref="B245:D245"/>
    <mergeCell ref="B181:C181"/>
    <mergeCell ref="D181:F181"/>
    <mergeCell ref="B198:C198"/>
    <mergeCell ref="D198:F198"/>
    <mergeCell ref="D188:F188"/>
    <mergeCell ref="B189:C189"/>
    <mergeCell ref="E234:G234"/>
    <mergeCell ref="E235:G235"/>
    <mergeCell ref="E236:G236"/>
    <mergeCell ref="E228:G228"/>
    <mergeCell ref="E229:G229"/>
    <mergeCell ref="E230:G230"/>
    <mergeCell ref="C216:G216"/>
    <mergeCell ref="C217:G217"/>
    <mergeCell ref="D201:F201"/>
    <mergeCell ref="B202:C202"/>
    <mergeCell ref="D202:F202"/>
    <mergeCell ref="B203:G203"/>
    <mergeCell ref="C218:G218"/>
    <mergeCell ref="H30:O30"/>
    <mergeCell ref="B36:C36"/>
    <mergeCell ref="D36:F36"/>
    <mergeCell ref="B37:C37"/>
    <mergeCell ref="D37:F37"/>
    <mergeCell ref="B115:C115"/>
    <mergeCell ref="D115:F115"/>
    <mergeCell ref="B116:C116"/>
    <mergeCell ref="D116:F116"/>
    <mergeCell ref="B117:C117"/>
    <mergeCell ref="D117:F117"/>
    <mergeCell ref="D67:F67"/>
    <mergeCell ref="B112:C112"/>
    <mergeCell ref="D112:F112"/>
    <mergeCell ref="B113:C113"/>
    <mergeCell ref="D113:F113"/>
    <mergeCell ref="B63:C63"/>
    <mergeCell ref="B41:C41"/>
    <mergeCell ref="D82:F82"/>
    <mergeCell ref="B83:C83"/>
    <mergeCell ref="D83:F83"/>
    <mergeCell ref="D72:F72"/>
    <mergeCell ref="D88:F88"/>
    <mergeCell ref="B92:C92"/>
    <mergeCell ref="D92:F92"/>
    <mergeCell ref="B93:C93"/>
    <mergeCell ref="D114:F114"/>
    <mergeCell ref="B106:C106"/>
    <mergeCell ref="D109:F109"/>
    <mergeCell ref="B108:C108"/>
    <mergeCell ref="D108:F108"/>
    <mergeCell ref="B109:C109"/>
    <mergeCell ref="B235:D235"/>
    <mergeCell ref="E237:G237"/>
    <mergeCell ref="D199:F199"/>
    <mergeCell ref="E227:G227"/>
    <mergeCell ref="E231:G231"/>
    <mergeCell ref="E232:G232"/>
    <mergeCell ref="D177:F177"/>
    <mergeCell ref="B179:C179"/>
    <mergeCell ref="B206:G206"/>
    <mergeCell ref="B122:C122"/>
    <mergeCell ref="D179:F179"/>
    <mergeCell ref="B180:C180"/>
    <mergeCell ref="D180:F180"/>
    <mergeCell ref="B184:C184"/>
    <mergeCell ref="D184:F184"/>
    <mergeCell ref="B204:G204"/>
    <mergeCell ref="B166:C166"/>
    <mergeCell ref="D166:F166"/>
    <mergeCell ref="B167:C167"/>
    <mergeCell ref="C215:G215"/>
    <mergeCell ref="B227:C227"/>
    <mergeCell ref="C219:G219"/>
    <mergeCell ref="C212:G212"/>
    <mergeCell ref="B222:G222"/>
    <mergeCell ref="B225:G225"/>
    <mergeCell ref="B223:G223"/>
    <mergeCell ref="C207:G207"/>
    <mergeCell ref="C210:G210"/>
    <mergeCell ref="C213:G213"/>
    <mergeCell ref="C214:G214"/>
    <mergeCell ref="C211:G211"/>
    <mergeCell ref="B230:D230"/>
    <mergeCell ref="C252:D252"/>
    <mergeCell ref="B160:C160"/>
    <mergeCell ref="D160:F160"/>
    <mergeCell ref="B161:C161"/>
    <mergeCell ref="D161:F161"/>
    <mergeCell ref="B162:C162"/>
    <mergeCell ref="D162:F162"/>
    <mergeCell ref="B163:C163"/>
    <mergeCell ref="D163:F163"/>
    <mergeCell ref="D172:F172"/>
    <mergeCell ref="B173:C173"/>
    <mergeCell ref="D173:F173"/>
    <mergeCell ref="D106:F106"/>
    <mergeCell ref="D122:F122"/>
    <mergeCell ref="B123:C123"/>
    <mergeCell ref="D123:F123"/>
    <mergeCell ref="B124:C124"/>
    <mergeCell ref="D124:F124"/>
    <mergeCell ref="B118:C118"/>
    <mergeCell ref="D118:F118"/>
    <mergeCell ref="B119:C119"/>
    <mergeCell ref="D119:F119"/>
    <mergeCell ref="B120:C120"/>
    <mergeCell ref="D120:F120"/>
    <mergeCell ref="B188:C188"/>
    <mergeCell ref="D189:F189"/>
    <mergeCell ref="E240:G240"/>
    <mergeCell ref="E241:G241"/>
    <mergeCell ref="E242:G242"/>
    <mergeCell ref="B232:D232"/>
    <mergeCell ref="B233:D233"/>
    <mergeCell ref="B234:D234"/>
    <mergeCell ref="B101:C101"/>
    <mergeCell ref="D101:F101"/>
    <mergeCell ref="B111:C111"/>
    <mergeCell ref="D111:F111"/>
    <mergeCell ref="B190:C190"/>
    <mergeCell ref="D190:F190"/>
    <mergeCell ref="B191:C191"/>
    <mergeCell ref="D191:F191"/>
    <mergeCell ref="B192:C192"/>
    <mergeCell ref="B182:C182"/>
    <mergeCell ref="D182:F182"/>
    <mergeCell ref="B67:C67"/>
    <mergeCell ref="B76:C76"/>
    <mergeCell ref="D76:F76"/>
    <mergeCell ref="B110:C110"/>
    <mergeCell ref="D110:F110"/>
    <mergeCell ref="B57:C57"/>
    <mergeCell ref="D57:F57"/>
    <mergeCell ref="B140:C140"/>
    <mergeCell ref="D140:F140"/>
    <mergeCell ref="B144:C144"/>
    <mergeCell ref="D144:F144"/>
    <mergeCell ref="B121:C121"/>
    <mergeCell ref="D121:F121"/>
    <mergeCell ref="B96:C96"/>
    <mergeCell ref="D96:F96"/>
    <mergeCell ref="B104:C104"/>
    <mergeCell ref="D104:F104"/>
    <mergeCell ref="B88:C88"/>
    <mergeCell ref="B81:C81"/>
    <mergeCell ref="B69:C69"/>
    <mergeCell ref="D69:F69"/>
    <mergeCell ref="C291:D291"/>
    <mergeCell ref="B276:G276"/>
    <mergeCell ref="B277:C277"/>
    <mergeCell ref="E277:F277"/>
    <mergeCell ref="B278:C278"/>
    <mergeCell ref="E278:F278"/>
    <mergeCell ref="C279:D279"/>
    <mergeCell ref="B282:G282"/>
    <mergeCell ref="B283:C283"/>
    <mergeCell ref="E283:F283"/>
    <mergeCell ref="B284:C284"/>
    <mergeCell ref="E284:F284"/>
    <mergeCell ref="C285:D285"/>
    <mergeCell ref="B288:G288"/>
    <mergeCell ref="B289:C289"/>
    <mergeCell ref="E289:F289"/>
    <mergeCell ref="B290:C290"/>
    <mergeCell ref="E290:F290"/>
  </mergeCells>
  <conditionalFormatting sqref="B5">
    <cfRule type="expression" dxfId="717" priority="15">
      <formula>$B5="Paramedic"</formula>
    </cfRule>
    <cfRule type="expression" dxfId="716" priority="16">
      <formula>$B5="AEMT"</formula>
    </cfRule>
  </conditionalFormatting>
  <conditionalFormatting sqref="B9">
    <cfRule type="expression" dxfId="715" priority="13">
      <formula>$B9="Paramedic"</formula>
    </cfRule>
    <cfRule type="expression" dxfId="714" priority="14">
      <formula>$B9="AEMT"</formula>
    </cfRule>
  </conditionalFormatting>
  <conditionalFormatting sqref="B204">
    <cfRule type="expression" dxfId="713" priority="12">
      <formula>$B204="AEMT"</formula>
    </cfRule>
    <cfRule type="expression" dxfId="712" priority="11">
      <formula>$B204="Paramedic"</formula>
    </cfRule>
  </conditionalFormatting>
  <conditionalFormatting sqref="B222">
    <cfRule type="expression" dxfId="711" priority="9">
      <formula>$B222="Paramedic"</formula>
    </cfRule>
    <cfRule type="expression" dxfId="710" priority="10">
      <formula>$B222="AEMT"</formula>
    </cfRule>
  </conditionalFormatting>
  <conditionalFormatting sqref="B248">
    <cfRule type="expression" dxfId="709" priority="7">
      <formula>$B248="Paramedic"</formula>
    </cfRule>
    <cfRule type="expression" dxfId="708" priority="8">
      <formula>$B248="AEMT"</formula>
    </cfRule>
  </conditionalFormatting>
  <conditionalFormatting sqref="B50:C50">
    <cfRule type="expression" dxfId="707" priority="32">
      <formula>$B$50&lt;&gt;""</formula>
    </cfRule>
  </conditionalFormatting>
  <conditionalFormatting sqref="B51:C51">
    <cfRule type="expression" dxfId="706" priority="5">
      <formula>$B$51&lt;&gt;""</formula>
    </cfRule>
  </conditionalFormatting>
  <conditionalFormatting sqref="B52:C52">
    <cfRule type="expression" dxfId="705" priority="6">
      <formula>$B$52&lt;&gt;""</formula>
    </cfRule>
  </conditionalFormatting>
  <conditionalFormatting sqref="B57:C59">
    <cfRule type="expression" dxfId="704" priority="31">
      <formula>$B$57&lt;&gt;""</formula>
    </cfRule>
  </conditionalFormatting>
  <conditionalFormatting sqref="B66:C68">
    <cfRule type="expression" dxfId="703" priority="29">
      <formula>$B$66&lt;&gt;""</formula>
    </cfRule>
  </conditionalFormatting>
  <conditionalFormatting sqref="B74:C76">
    <cfRule type="expression" dxfId="702" priority="28">
      <formula>$B$74&lt;&gt;""</formula>
    </cfRule>
  </conditionalFormatting>
  <conditionalFormatting sqref="B77:C79">
    <cfRule type="expression" dxfId="701" priority="27">
      <formula>$B$77&lt;&gt;""</formula>
    </cfRule>
  </conditionalFormatting>
  <conditionalFormatting sqref="B107:C109">
    <cfRule type="expression" dxfId="700" priority="26">
      <formula>$B$107&lt;&gt;""</formula>
    </cfRule>
  </conditionalFormatting>
  <conditionalFormatting sqref="B125:C127">
    <cfRule type="expression" dxfId="699" priority="24">
      <formula>$B$125&lt;&gt;""</formula>
    </cfRule>
  </conditionalFormatting>
  <conditionalFormatting sqref="B129:C135">
    <cfRule type="expression" dxfId="698" priority="23">
      <formula>$B$129&lt;&gt;""</formula>
    </cfRule>
  </conditionalFormatting>
  <conditionalFormatting sqref="B137:C139">
    <cfRule type="expression" dxfId="697" priority="22">
      <formula>$B$137&lt;&gt;""</formula>
    </cfRule>
  </conditionalFormatting>
  <conditionalFormatting sqref="B141:C143">
    <cfRule type="expression" dxfId="696" priority="21">
      <formula>$B$141&lt;&gt;""</formula>
    </cfRule>
  </conditionalFormatting>
  <conditionalFormatting sqref="B146:C148">
    <cfRule type="expression" dxfId="695" priority="20">
      <formula>$B$146&lt;&gt;""</formula>
    </cfRule>
  </conditionalFormatting>
  <conditionalFormatting sqref="B153:C155">
    <cfRule type="expression" dxfId="694" priority="19">
      <formula>$B$153&lt;&gt;""</formula>
    </cfRule>
  </conditionalFormatting>
  <conditionalFormatting sqref="B181:C183">
    <cfRule type="expression" dxfId="693" priority="18">
      <formula>$B$181&lt;&gt;""</formula>
    </cfRule>
  </conditionalFormatting>
  <conditionalFormatting sqref="B195:C197">
    <cfRule type="expression" dxfId="692" priority="1">
      <formula>$B$197&lt;&gt;""</formula>
    </cfRule>
  </conditionalFormatting>
  <hyperlinks>
    <hyperlink ref="I12" location="aSuggestedStrengths" display="Hyperlink to Strengths &amp; Recommendations tab" xr:uid="{584210D8-7731-471B-A0DF-39AC786EA058}"/>
    <hyperlink ref="I205:I206" location="aSuggestedRecommend" display="Hyperlink to Strengths &amp; Recommendations tab" xr:uid="{4E7BDA6F-0D57-4CEA-9E67-743531A17451}"/>
  </hyperlinks>
  <pageMargins left="0.45" right="0.45" top="0.5" bottom="0.5" header="0.3" footer="0.3"/>
  <pageSetup scale="78" fitToHeight="0" orientation="landscape" horizontalDpi="1200" verticalDpi="1200" r:id="rId3"/>
  <rowBreaks count="5" manualBreakCount="5">
    <brk id="11" max="6" man="1"/>
    <brk id="27" max="6" man="1"/>
    <brk id="222" max="6" man="1"/>
    <brk id="248" max="6" man="1"/>
    <brk id="275" max="6" man="1"/>
  </rowBreaks>
  <colBreaks count="1" manualBreakCount="1">
    <brk id="7" max="1048575" man="1"/>
  </colBreaks>
  <drawing r:id="rId4"/>
  <legacyDrawing r:id="rId5"/>
  <mc:AlternateContent xmlns:mc="http://schemas.openxmlformats.org/markup-compatibility/2006">
    <mc:Choice Requires="x14">
      <controls>
        <mc:AlternateContent xmlns:mc="http://schemas.openxmlformats.org/markup-compatibility/2006">
          <mc:Choice Requires="x14">
            <control shapeId="8194" r:id="rId6" name="Check Box 2">
              <controlPr defaultSize="0" autoFill="0" autoLine="0" autoPict="0">
                <anchor moveWithCells="1">
                  <from>
                    <xdr:col>1</xdr:col>
                    <xdr:colOff>304800</xdr:colOff>
                    <xdr:row>256</xdr:row>
                    <xdr:rowOff>63500</xdr:rowOff>
                  </from>
                  <to>
                    <xdr:col>1</xdr:col>
                    <xdr:colOff>495300</xdr:colOff>
                    <xdr:row>256</xdr:row>
                    <xdr:rowOff>190500</xdr:rowOff>
                  </to>
                </anchor>
              </controlPr>
            </control>
          </mc:Choice>
        </mc:AlternateContent>
        <mc:AlternateContent xmlns:mc="http://schemas.openxmlformats.org/markup-compatibility/2006">
          <mc:Choice Requires="x14">
            <control shapeId="8195" r:id="rId7" name="Check Box 3">
              <controlPr defaultSize="0" autoFill="0" autoLine="0" autoPict="0">
                <anchor moveWithCells="1">
                  <from>
                    <xdr:col>1</xdr:col>
                    <xdr:colOff>304800</xdr:colOff>
                    <xdr:row>261</xdr:row>
                    <xdr:rowOff>63500</xdr:rowOff>
                  </from>
                  <to>
                    <xdr:col>1</xdr:col>
                    <xdr:colOff>495300</xdr:colOff>
                    <xdr:row>261</xdr:row>
                    <xdr:rowOff>190500</xdr:rowOff>
                  </to>
                </anchor>
              </controlPr>
            </control>
          </mc:Choice>
        </mc:AlternateContent>
        <mc:AlternateContent xmlns:mc="http://schemas.openxmlformats.org/markup-compatibility/2006">
          <mc:Choice Requires="x14">
            <control shapeId="8196" r:id="rId8" name="Check Box 4">
              <controlPr defaultSize="0" autoFill="0" autoLine="0" autoPict="0">
                <anchor moveWithCells="1">
                  <from>
                    <xdr:col>1</xdr:col>
                    <xdr:colOff>304800</xdr:colOff>
                    <xdr:row>267</xdr:row>
                    <xdr:rowOff>25400</xdr:rowOff>
                  </from>
                  <to>
                    <xdr:col>1</xdr:col>
                    <xdr:colOff>495300</xdr:colOff>
                    <xdr:row>267</xdr:row>
                    <xdr:rowOff>254000</xdr:rowOff>
                  </to>
                </anchor>
              </controlPr>
            </control>
          </mc:Choice>
        </mc:AlternateContent>
        <mc:AlternateContent xmlns:mc="http://schemas.openxmlformats.org/markup-compatibility/2006">
          <mc:Choice Requires="x14">
            <control shapeId="8197" r:id="rId9" name="Check Box 5">
              <controlPr defaultSize="0" autoFill="0" autoLine="0" autoPict="0">
                <anchor moveWithCells="1">
                  <from>
                    <xdr:col>1</xdr:col>
                    <xdr:colOff>292100</xdr:colOff>
                    <xdr:row>273</xdr:row>
                    <xdr:rowOff>25400</xdr:rowOff>
                  </from>
                  <to>
                    <xdr:col>1</xdr:col>
                    <xdr:colOff>520700</xdr:colOff>
                    <xdr:row>273</xdr:row>
                    <xdr:rowOff>241300</xdr:rowOff>
                  </to>
                </anchor>
              </controlPr>
            </control>
          </mc:Choice>
        </mc:AlternateContent>
        <mc:AlternateContent xmlns:mc="http://schemas.openxmlformats.org/markup-compatibility/2006">
          <mc:Choice Requires="x14">
            <control shapeId="8198" r:id="rId10" name="Check Box 6">
              <controlPr defaultSize="0" autoFill="0" autoLine="0" autoPict="0">
                <anchor moveWithCells="1">
                  <from>
                    <xdr:col>1</xdr:col>
                    <xdr:colOff>304800</xdr:colOff>
                    <xdr:row>251</xdr:row>
                    <xdr:rowOff>63500</xdr:rowOff>
                  </from>
                  <to>
                    <xdr:col>1</xdr:col>
                    <xdr:colOff>495300</xdr:colOff>
                    <xdr:row>251</xdr:row>
                    <xdr:rowOff>190500</xdr:rowOff>
                  </to>
                </anchor>
              </controlPr>
            </control>
          </mc:Choice>
        </mc:AlternateContent>
        <mc:AlternateContent xmlns:mc="http://schemas.openxmlformats.org/markup-compatibility/2006">
          <mc:Choice Requires="x14">
            <control shapeId="8199" r:id="rId11" name="Check Box 7">
              <controlPr defaultSize="0" autoFill="0" autoLine="0" autoPict="0">
                <anchor moveWithCells="1">
                  <from>
                    <xdr:col>1</xdr:col>
                    <xdr:colOff>304800</xdr:colOff>
                    <xdr:row>278</xdr:row>
                    <xdr:rowOff>25400</xdr:rowOff>
                  </from>
                  <to>
                    <xdr:col>1</xdr:col>
                    <xdr:colOff>495300</xdr:colOff>
                    <xdr:row>293</xdr:row>
                    <xdr:rowOff>50800</xdr:rowOff>
                  </to>
                </anchor>
              </controlPr>
            </control>
          </mc:Choice>
        </mc:AlternateContent>
        <mc:AlternateContent xmlns:mc="http://schemas.openxmlformats.org/markup-compatibility/2006">
          <mc:Choice Requires="x14">
            <control shapeId="8200" r:id="rId12" name="Check Box 8">
              <controlPr defaultSize="0" autoFill="0" autoLine="0" autoPict="0">
                <anchor moveWithCells="1">
                  <from>
                    <xdr:col>1</xdr:col>
                    <xdr:colOff>292100</xdr:colOff>
                    <xdr:row>284</xdr:row>
                    <xdr:rowOff>25400</xdr:rowOff>
                  </from>
                  <to>
                    <xdr:col>1</xdr:col>
                    <xdr:colOff>520700</xdr:colOff>
                    <xdr:row>293</xdr:row>
                    <xdr:rowOff>25400</xdr:rowOff>
                  </to>
                </anchor>
              </controlPr>
            </control>
          </mc:Choice>
        </mc:AlternateContent>
        <mc:AlternateContent xmlns:mc="http://schemas.openxmlformats.org/markup-compatibility/2006">
          <mc:Choice Requires="x14">
            <control shapeId="8201" r:id="rId13" name="Check Box 9">
              <controlPr defaultSize="0" autoFill="0" autoLine="0" autoPict="0">
                <anchor moveWithCells="1">
                  <from>
                    <xdr:col>1</xdr:col>
                    <xdr:colOff>292100</xdr:colOff>
                    <xdr:row>290</xdr:row>
                    <xdr:rowOff>25400</xdr:rowOff>
                  </from>
                  <to>
                    <xdr:col>1</xdr:col>
                    <xdr:colOff>520700</xdr:colOff>
                    <xdr:row>293</xdr:row>
                    <xdr:rowOff>25400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8693D-838F-46BC-86DD-D2A3B310773F}">
  <dimension ref="B2:CR140"/>
  <sheetViews>
    <sheetView showGridLines="0" showRowColHeaders="0" zoomScaleNormal="100" workbookViewId="0">
      <selection activeCell="F16" sqref="F16:H16"/>
    </sheetView>
  </sheetViews>
  <sheetFormatPr baseColWidth="10" defaultColWidth="8.83203125" defaultRowHeight="14" x14ac:dyDescent="0.15"/>
  <cols>
    <col min="3" max="3" width="12" customWidth="1"/>
    <col min="5" max="5" width="12.33203125" customWidth="1"/>
    <col min="9" max="9" width="25.6640625" customWidth="1"/>
    <col min="10" max="10" width="17.6640625" customWidth="1"/>
    <col min="11" max="11" width="8.6640625" customWidth="1"/>
    <col min="12" max="12" width="10.1640625" customWidth="1"/>
    <col min="13" max="13" width="16.1640625" customWidth="1"/>
    <col min="14" max="14" width="43" customWidth="1"/>
    <col min="15" max="18" width="25.6640625" customWidth="1"/>
    <col min="19" max="19" width="43" customWidth="1"/>
    <col min="20" max="23" width="25.6640625" customWidth="1"/>
    <col min="24" max="24" width="43" customWidth="1"/>
    <col min="25" max="28" width="25.6640625" customWidth="1"/>
  </cols>
  <sheetData>
    <row r="2" spans="2:96" ht="37.5" customHeight="1" x14ac:dyDescent="0.15">
      <c r="B2" s="879" t="str">
        <f>IF(OR('SV Findings'!G324&lt;&gt;"N/A",'SV Findings'!G325&lt;&gt;"N/A",'SV Findings'!G326&lt;&gt;"N/A"),"Site Visit Report Satellite(s) Addendum","No Active Satellites")</f>
        <v>No Active Satellites</v>
      </c>
      <c r="C2" s="879"/>
      <c r="D2" s="879"/>
      <c r="E2" s="879"/>
      <c r="F2" s="879"/>
      <c r="G2" s="879"/>
      <c r="H2" s="879"/>
      <c r="I2" s="879"/>
      <c r="J2" s="879"/>
      <c r="K2" s="879"/>
      <c r="L2" s="87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row>
    <row r="3" spans="2:96" s="146" customFormat="1" ht="27" customHeight="1" x14ac:dyDescent="0.15">
      <c r="B3" s="718" t="str">
        <f>IF('Cover Page'!$D$8&lt;&gt;"Please Select",'Cover Page'!$D$8, "")</f>
        <v/>
      </c>
      <c r="C3" s="718"/>
      <c r="D3" s="718"/>
      <c r="E3" s="718"/>
      <c r="F3" s="718"/>
      <c r="G3" s="718"/>
      <c r="H3" s="718"/>
      <c r="I3" s="718"/>
      <c r="J3" s="718"/>
      <c r="K3" s="718"/>
      <c r="L3" s="718"/>
    </row>
    <row r="4" spans="2:96" ht="70.5" customHeight="1" x14ac:dyDescent="0.15">
      <c r="B4" s="880" t="str">
        <f>IF(B2&lt;&gt;"","Program Satellite …off-campus location(s) that are advertised or otherwise made known to individuals outside the sponsor.  "&amp;"The off-campus location(s) must offer all the professional didactic (which may include any distance education delivery modality) and laboratory content of the program.  "&amp;"Satellites(s) are included in the CAAHEP accreditation of the sponsor and function under the direction of the key personnel of the program.  "&amp;"The CoAEMSP may establish additional requirements that are consistent with CAAHEP Standards and policies.","")</f>
        <v>Program Satellite …off-campus location(s) that are advertised or otherwise made known to individuals outside the sponsor.  The off-campus location(s) must offer all the professional didactic (which may include any distance education delivery modality) and laboratory content of the program.  Satellites(s) are included in the CAAHEP accreditation of the sponsor and function under the direction of the key personnel of the program.  The CoAEMSP may establish additional requirements that are consistent with CAAHEP Standards and policies.</v>
      </c>
      <c r="C4" s="880"/>
      <c r="D4" s="880"/>
      <c r="E4" s="880"/>
      <c r="F4" s="880"/>
      <c r="G4" s="880"/>
      <c r="H4" s="880"/>
      <c r="I4" s="880"/>
      <c r="J4" s="880"/>
      <c r="K4" s="880"/>
      <c r="L4" s="880"/>
      <c r="M4" s="86">
        <f>SUM(H6,H7,H8)</f>
        <v>0</v>
      </c>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row>
    <row r="5" spans="2:96" x14ac:dyDescent="0.15">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row>
    <row r="6" spans="2:96" s="7" customFormat="1" ht="36" customHeight="1" x14ac:dyDescent="0.15">
      <c r="B6" s="887" t="s">
        <v>484</v>
      </c>
      <c r="C6" s="887"/>
      <c r="D6" s="887"/>
      <c r="E6" s="887"/>
      <c r="F6" s="887"/>
      <c r="G6" s="887"/>
      <c r="H6" s="246" t="str">
        <f>'SV Findings'!G324</f>
        <v>N/A</v>
      </c>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row>
    <row r="7" spans="2:96" s="7" customFormat="1" ht="36" customHeight="1" x14ac:dyDescent="0.15">
      <c r="B7" s="887" t="s">
        <v>485</v>
      </c>
      <c r="C7" s="887"/>
      <c r="D7" s="887"/>
      <c r="E7" s="887"/>
      <c r="F7" s="887"/>
      <c r="G7" s="887"/>
      <c r="H7" s="246" t="str">
        <f>'SV Findings'!G325</f>
        <v>N/A</v>
      </c>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row>
    <row r="8" spans="2:96" s="7" customFormat="1" ht="36" customHeight="1" x14ac:dyDescent="0.15">
      <c r="B8" s="883" t="str">
        <f>IF('SV Findings'!G326&lt;&gt;"N/A","Number of satellite locations not approved:","")</f>
        <v/>
      </c>
      <c r="C8" s="883"/>
      <c r="D8" s="883"/>
      <c r="E8" s="883"/>
      <c r="F8" s="883"/>
      <c r="G8" s="883"/>
      <c r="H8" s="248" t="str">
        <f>IF('SV Findings'!G327&lt;&gt;"",'SV Findings'!G327,"")</f>
        <v/>
      </c>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row>
    <row r="9" spans="2:96" x14ac:dyDescent="0.15">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row>
    <row r="10" spans="2:96" ht="25" customHeight="1" x14ac:dyDescent="0.15">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row>
    <row r="11" spans="2:96" ht="25.5" customHeight="1" x14ac:dyDescent="0.15">
      <c r="B11" s="146"/>
      <c r="C11" s="878"/>
      <c r="D11" s="878"/>
      <c r="E11" s="878"/>
      <c r="F11" s="882" t="str">
        <f>IF(H6&lt;&gt;"N/A","Same State Satellite(s)","")</f>
        <v/>
      </c>
      <c r="G11" s="882"/>
      <c r="H11" s="882"/>
      <c r="I11" s="882"/>
      <c r="J11" s="882"/>
      <c r="K11" s="882"/>
      <c r="L11" s="882"/>
      <c r="M11" s="882"/>
      <c r="N11" s="19"/>
      <c r="O11" s="889" t="str">
        <f>IF(O12&lt;&gt;"","Same State Satellite(s)","")</f>
        <v/>
      </c>
      <c r="P11" s="889"/>
      <c r="Q11" s="889"/>
      <c r="R11" s="889"/>
      <c r="S11" s="19"/>
      <c r="T11" s="882" t="str">
        <f>IF(T12&lt;&gt;"","Same State Satellite(s)","")</f>
        <v/>
      </c>
      <c r="U11" s="882"/>
      <c r="V11" s="882"/>
      <c r="W11" s="882"/>
      <c r="X11" s="19"/>
      <c r="Y11" s="889" t="str">
        <f>IF(Y12&lt;&gt;"","Same State Satellite(s)","")</f>
        <v/>
      </c>
      <c r="Z11" s="889"/>
      <c r="AA11" s="889"/>
      <c r="AB11" s="88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row>
    <row r="12" spans="2:96" ht="36.75" customHeight="1" x14ac:dyDescent="0.15">
      <c r="B12" s="146"/>
      <c r="C12" s="682"/>
      <c r="D12" s="682"/>
      <c r="E12" s="682"/>
      <c r="F12" s="882" t="str">
        <f>IF(AND($H6&lt;&gt;"N/A",$H6&gt;=1),"Satellite Location #1","")</f>
        <v/>
      </c>
      <c r="G12" s="882"/>
      <c r="H12" s="882"/>
      <c r="I12" s="159" t="str">
        <f>IF(AND($H6&lt;&gt;"N/A",$H6&gt;=2),"Satellite Location #2","")</f>
        <v/>
      </c>
      <c r="J12" s="882" t="str">
        <f>IF(AND($H6&lt;&gt;"N/A",$H6&gt;=3),"Satellite Location #3","")</f>
        <v/>
      </c>
      <c r="K12" s="882"/>
      <c r="L12" s="882" t="str">
        <f>IF(AND($H6&lt;&gt;"N/A",$H6&gt;=4),"Satellite Location #4","")</f>
        <v/>
      </c>
      <c r="M12" s="882"/>
      <c r="N12" s="19"/>
      <c r="O12" s="159" t="str">
        <f>IF(AND($H6&lt;&gt;"N/A",$H6&gt;=5),"Satellite Location #5","")</f>
        <v/>
      </c>
      <c r="P12" s="159" t="str">
        <f>IF(AND($H6&lt;&gt;"N/A",$H6&gt;=6),"Satellite Location #6","")</f>
        <v/>
      </c>
      <c r="Q12" s="159" t="str">
        <f>IF(AND($H6&lt;&gt;"N/A",$H6&gt;=7),"Satellite Location #7","")</f>
        <v/>
      </c>
      <c r="R12" s="159" t="str">
        <f>IF(AND($H6&lt;&gt;"N/A",$H6&gt;=8),"Satellite Location #8","")</f>
        <v/>
      </c>
      <c r="S12" s="19"/>
      <c r="T12" s="159" t="str">
        <f>IF(AND($H6&lt;&gt;"N/A",$H6&gt;=9),"Satellite Location #9","")</f>
        <v/>
      </c>
      <c r="U12" s="159" t="str">
        <f>IF(AND($H6&lt;&gt;"N/A",$H6&gt;=10),"Satellite Location #10","")</f>
        <v/>
      </c>
      <c r="V12" s="159" t="str">
        <f>IF(AND($H6&lt;&gt;"N/A",$H6&gt;=11),"Satellite Location #11","")</f>
        <v/>
      </c>
      <c r="W12" s="159" t="str">
        <f>IF(AND($H6&lt;&gt;"N/A",$H6&gt;=12),"Satellite Location #12","")</f>
        <v/>
      </c>
      <c r="X12" s="19"/>
      <c r="Y12" s="159" t="str">
        <f>IF(AND($H6&lt;&gt;"N/A",$H6&gt;=13),"Satellite Location #13","")</f>
        <v/>
      </c>
      <c r="Z12" s="159" t="str">
        <f>IF(AND($H6&lt;&gt;"N/A",$H6&gt;=14),"Satellite Location #14","")</f>
        <v/>
      </c>
      <c r="AA12" s="159" t="str">
        <f>IF(AND($H6&lt;&gt;"N/A",$H6&gt;=15),"Satellite Location #15","")</f>
        <v/>
      </c>
      <c r="AB12" s="159" t="str">
        <f>IF(AND($H6&lt;&gt;"N/A",$H6&gt;=16),"Satellite Location #16","")</f>
        <v/>
      </c>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row>
    <row r="13" spans="2:96" ht="39.75" customHeight="1" x14ac:dyDescent="0.15">
      <c r="B13" s="878" t="str">
        <f>IF(F12&lt;&gt;"","Satellite Name, City, State:","")</f>
        <v/>
      </c>
      <c r="C13" s="878"/>
      <c r="D13" s="878"/>
      <c r="E13" s="878"/>
      <c r="F13" s="885"/>
      <c r="G13" s="876"/>
      <c r="H13" s="876"/>
      <c r="I13" s="160"/>
      <c r="J13" s="885"/>
      <c r="K13" s="885"/>
      <c r="L13" s="885"/>
      <c r="M13" s="885"/>
      <c r="N13" s="249" t="str">
        <f>IF(O12&lt;&gt;"","Satellite Name, City, State:","")</f>
        <v/>
      </c>
      <c r="O13" s="160"/>
      <c r="P13" s="160"/>
      <c r="Q13" s="160"/>
      <c r="R13" s="160"/>
      <c r="S13" s="249" t="str">
        <f>IF(T12&lt;&gt;"","Satellite Name, City, State:","")</f>
        <v/>
      </c>
      <c r="T13" s="160"/>
      <c r="U13" s="160"/>
      <c r="V13" s="160"/>
      <c r="W13" s="160"/>
      <c r="X13" s="249" t="str">
        <f>IF(Y12&lt;&gt;"","Satellite Name, City, State:","")</f>
        <v/>
      </c>
      <c r="Y13" s="160"/>
      <c r="Z13" s="160"/>
      <c r="AA13" s="160"/>
      <c r="AB13" s="160"/>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row>
    <row r="14" spans="2:96" ht="39.75" customHeight="1" x14ac:dyDescent="0.15">
      <c r="B14" s="878" t="str">
        <f>IF(F12&lt;&gt;"","Distance from main campus:
(in miles)","")</f>
        <v/>
      </c>
      <c r="C14" s="878"/>
      <c r="D14" s="878"/>
      <c r="E14" s="878"/>
      <c r="F14" s="890"/>
      <c r="G14" s="890"/>
      <c r="H14" s="890"/>
      <c r="I14" s="161"/>
      <c r="J14" s="884"/>
      <c r="K14" s="884"/>
      <c r="L14" s="884"/>
      <c r="M14" s="884"/>
      <c r="N14" s="255" t="str">
        <f>IF(O12&lt;&gt;"","Distance from main campus:
(in miles)","")</f>
        <v/>
      </c>
      <c r="O14" s="161"/>
      <c r="P14" s="161"/>
      <c r="Q14" s="161"/>
      <c r="R14" s="161"/>
      <c r="S14" s="250" t="str">
        <f>IF(T12&lt;&gt;"","Distance from main campus:
(in miles)","")</f>
        <v/>
      </c>
      <c r="T14" s="161"/>
      <c r="U14" s="161"/>
      <c r="V14" s="161"/>
      <c r="W14" s="161"/>
      <c r="X14" s="250" t="str">
        <f>IF(Y12&lt;&gt;"","Distance from main campus:
(in miles)","")</f>
        <v/>
      </c>
      <c r="Y14" s="161"/>
      <c r="Z14" s="161"/>
      <c r="AA14" s="161"/>
      <c r="AB14" s="161"/>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row>
    <row r="15" spans="2:96" ht="39.75" customHeight="1" x14ac:dyDescent="0.15">
      <c r="B15" s="878" t="str">
        <f>IF(F12&lt;&gt;"","Maximum number of students:
(per cohort)","")</f>
        <v/>
      </c>
      <c r="C15" s="878"/>
      <c r="D15" s="878"/>
      <c r="E15" s="878"/>
      <c r="F15" s="890"/>
      <c r="G15" s="890"/>
      <c r="H15" s="890"/>
      <c r="I15" s="161"/>
      <c r="J15" s="884"/>
      <c r="K15" s="884"/>
      <c r="L15" s="884"/>
      <c r="M15" s="884"/>
      <c r="N15" s="250" t="str">
        <f>IF(O12&lt;&gt;"","Maximum number of students:
(per cohort)","")</f>
        <v/>
      </c>
      <c r="O15" s="161"/>
      <c r="P15" s="161"/>
      <c r="Q15" s="161"/>
      <c r="R15" s="161"/>
      <c r="S15" s="250" t="str">
        <f>IF(T12&lt;&gt;"","Maximum number of students:
(per cohort)","")</f>
        <v/>
      </c>
      <c r="T15" s="161"/>
      <c r="U15" s="161"/>
      <c r="V15" s="161"/>
      <c r="W15" s="161"/>
      <c r="X15" s="250" t="str">
        <f>IF(Y12&lt;&gt;"","Maximum number of students:
(per cohort)","")</f>
        <v/>
      </c>
      <c r="Y15" s="161"/>
      <c r="Z15" s="161"/>
      <c r="AA15" s="161"/>
      <c r="AB15" s="161"/>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row>
    <row r="16" spans="2:96" ht="39.75" customHeight="1" x14ac:dyDescent="0.15">
      <c r="B16" s="878" t="str">
        <f>IF(F12&lt;&gt;"","Approved satellite Lead Instructor:","")</f>
        <v/>
      </c>
      <c r="C16" s="878"/>
      <c r="D16" s="878"/>
      <c r="E16" s="878"/>
      <c r="F16" s="876"/>
      <c r="G16" s="876"/>
      <c r="H16" s="876"/>
      <c r="I16" s="160"/>
      <c r="J16" s="885"/>
      <c r="K16" s="885"/>
      <c r="L16" s="885"/>
      <c r="M16" s="885"/>
      <c r="N16" s="249" t="str">
        <f>IF(O12&lt;&gt;"","Approved satellite Lead Instructor:","")</f>
        <v/>
      </c>
      <c r="O16" s="160"/>
      <c r="P16" s="160"/>
      <c r="Q16" s="160"/>
      <c r="R16" s="160"/>
      <c r="S16" s="249" t="str">
        <f>IF(T12&lt;&gt;"","Approved satellite Lead Instructor:","")</f>
        <v/>
      </c>
      <c r="T16" s="160"/>
      <c r="U16" s="160"/>
      <c r="V16" s="160"/>
      <c r="W16" s="160"/>
      <c r="X16" s="249" t="str">
        <f>IF(Y12&lt;&gt;"","Approved satellite Lead Instructor:","")</f>
        <v/>
      </c>
      <c r="Y16" s="160"/>
      <c r="Z16" s="160"/>
      <c r="AA16" s="160"/>
      <c r="AB16" s="160"/>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row>
    <row r="17" spans="2:96" ht="39.75" customHeight="1" x14ac:dyDescent="0.15">
      <c r="B17" s="878" t="str">
        <f>IF(F12&lt;&gt;"","Approved satellite Medical Director:","")</f>
        <v/>
      </c>
      <c r="C17" s="878"/>
      <c r="D17" s="878"/>
      <c r="E17" s="878"/>
      <c r="F17" s="876"/>
      <c r="G17" s="876"/>
      <c r="H17" s="876"/>
      <c r="I17" s="160"/>
      <c r="J17" s="885"/>
      <c r="K17" s="885"/>
      <c r="L17" s="885"/>
      <c r="M17" s="885"/>
      <c r="N17" s="249" t="str">
        <f>IF(O12&lt;&gt;"","Approved satellite Medical Director:","")</f>
        <v/>
      </c>
      <c r="O17" s="160"/>
      <c r="P17" s="160"/>
      <c r="Q17" s="160"/>
      <c r="R17" s="160"/>
      <c r="S17" s="249" t="str">
        <f>IF(T12&lt;&gt;"","Approved satellite Medical Director:","")</f>
        <v/>
      </c>
      <c r="T17" s="160"/>
      <c r="U17" s="160"/>
      <c r="V17" s="160"/>
      <c r="W17" s="160"/>
      <c r="X17" s="249" t="str">
        <f>IF(Y12&lt;&gt;"","Approved satellite Medical Director:","")</f>
        <v/>
      </c>
      <c r="Y17" s="160"/>
      <c r="Z17" s="160"/>
      <c r="AA17" s="160"/>
      <c r="AB17" s="160"/>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row>
    <row r="18" spans="2:96" ht="64.5" customHeight="1" x14ac:dyDescent="0.15">
      <c r="B18" s="878"/>
      <c r="C18" s="878"/>
      <c r="D18" s="878"/>
      <c r="E18" s="878"/>
      <c r="F18" s="886" t="str">
        <f>IF(F$12&lt;&gt;"","Site Visitors, please provide the information below specifically for this satellite location:","")</f>
        <v/>
      </c>
      <c r="G18" s="886"/>
      <c r="H18" s="886"/>
      <c r="I18" s="166" t="str">
        <f>IF(I$12&lt;&gt;"","Site Visitors, please provide the information below specifically for this satellite location:","")</f>
        <v/>
      </c>
      <c r="J18" s="886" t="str">
        <f>IF(J$12&lt;&gt;"","Site Visitors, please provide the information below specifically for this satellite location:","")</f>
        <v/>
      </c>
      <c r="K18" s="886"/>
      <c r="L18" s="886" t="str">
        <f>IF(L$12&lt;&gt;"","Site Visitors, please provide the information below specifically for this satellite location:","")</f>
        <v/>
      </c>
      <c r="M18" s="886"/>
      <c r="N18" s="19"/>
      <c r="O18" s="166" t="str">
        <f>IF(O$12&lt;&gt;"","Site Visitors, please provide the information below specifically for this satellite location:","")</f>
        <v/>
      </c>
      <c r="P18" s="166" t="str">
        <f>IF(P$12&lt;&gt;"","Site Visitors, please provide the information below specifically for this satellite location:","")</f>
        <v/>
      </c>
      <c r="Q18" s="166" t="str">
        <f>IF(Q$12&lt;&gt;"","Site Visitors, please provide the information below specifically for this satellite location:","")</f>
        <v/>
      </c>
      <c r="R18" s="166" t="str">
        <f>IF(R$12&lt;&gt;"","Site Visitors, please provide the information below specifically for this satellite location:","")</f>
        <v/>
      </c>
      <c r="S18" s="19"/>
      <c r="T18" s="166" t="str">
        <f>IF(T$12&lt;&gt;"","Site Visitors, please provide the information below specifically for this satellite location:","")</f>
        <v/>
      </c>
      <c r="U18" s="166" t="str">
        <f>IF(U$12&lt;&gt;"","Site Visitors, please provide the information below specifically for this satellite location:","")</f>
        <v/>
      </c>
      <c r="V18" s="166" t="str">
        <f>IF(V$12&lt;&gt;"","Site Visitors, please provide the information below specifically for this satellite location:","")</f>
        <v/>
      </c>
      <c r="W18" s="166" t="str">
        <f>IF(W$12&lt;&gt;"","Site Visitors, please provide the information below specifically for this satellite location:","")</f>
        <v/>
      </c>
      <c r="X18" s="19"/>
      <c r="Y18" s="166" t="str">
        <f>IF(Y$12&lt;&gt;"","Site Visitors, please provide the information below specifically for this satellite location:","")</f>
        <v/>
      </c>
      <c r="Z18" s="166" t="str">
        <f>IF(Z$12&lt;&gt;"","Site Visitors, please provide the information below specifically for this satellite location:","")</f>
        <v/>
      </c>
      <c r="AA18" s="166" t="str">
        <f>IF(AA$12&lt;&gt;"","Site Visitors, please provide the information below specifically for this satellite location:","")</f>
        <v/>
      </c>
      <c r="AB18" s="166" t="str">
        <f>IF(AB$12&lt;&gt;"","Site Visitors, please provide the information below specifically for this satellite location:","")</f>
        <v/>
      </c>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row>
    <row r="19" spans="2:96" ht="36" customHeight="1" x14ac:dyDescent="0.15">
      <c r="B19" s="878" t="str">
        <f>IF(F12&lt;&gt;"","Did the site visit team visit (phisically or virtually) the satellite location(s)?","")</f>
        <v/>
      </c>
      <c r="C19" s="878"/>
      <c r="D19" s="878"/>
      <c r="E19" s="878"/>
      <c r="F19" s="876"/>
      <c r="G19" s="876"/>
      <c r="H19" s="876"/>
      <c r="I19" s="162"/>
      <c r="J19" s="876"/>
      <c r="K19" s="876"/>
      <c r="L19" s="876"/>
      <c r="M19" s="876"/>
      <c r="N19" s="250" t="str">
        <f>IF(O12&lt;&gt;"","Did the site visit team visit (phisically or virtually) the satellite location(s)?","")</f>
        <v/>
      </c>
      <c r="O19" s="162"/>
      <c r="P19" s="162"/>
      <c r="Q19" s="162"/>
      <c r="R19" s="162"/>
      <c r="S19" s="250" t="str">
        <f>IF(T12&lt;&gt;"","Did the site visit team visit (phisically or virtually) the satellite location(s)?","")</f>
        <v/>
      </c>
      <c r="T19" s="162"/>
      <c r="U19" s="162"/>
      <c r="V19" s="162"/>
      <c r="W19" s="162"/>
      <c r="X19" s="250" t="str">
        <f>IF(Y12&lt;&gt;"","Did the site visit team visit (phisically or virtually) the satellite location(s)?","")</f>
        <v/>
      </c>
      <c r="Y19" s="162"/>
      <c r="Z19" s="162"/>
      <c r="AA19" s="162"/>
      <c r="AB19" s="162"/>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row>
    <row r="20" spans="2:96" ht="42" customHeight="1" x14ac:dyDescent="0.15">
      <c r="B20" s="878" t="str">
        <f>IF(F12&lt;&gt;"","Does the program utilize specific clinical or field affiliations for this location?","")</f>
        <v/>
      </c>
      <c r="C20" s="878"/>
      <c r="D20" s="878"/>
      <c r="E20" s="878"/>
      <c r="F20" s="876"/>
      <c r="G20" s="876"/>
      <c r="H20" s="876"/>
      <c r="I20" s="162"/>
      <c r="J20" s="876"/>
      <c r="K20" s="876"/>
      <c r="L20" s="876"/>
      <c r="M20" s="876"/>
      <c r="N20" s="250" t="str">
        <f>IF(O12&lt;&gt;"","Does the program utilize specific clinical or field affiliations for this location?","")</f>
        <v/>
      </c>
      <c r="O20" s="162"/>
      <c r="P20" s="162"/>
      <c r="Q20" s="162"/>
      <c r="R20" s="162"/>
      <c r="S20" s="250" t="str">
        <f>IF(T12&lt;&gt;"","Does the program utilize specific clinical or field affiliations for this location?","")</f>
        <v/>
      </c>
      <c r="T20" s="162"/>
      <c r="U20" s="162"/>
      <c r="V20" s="162"/>
      <c r="W20" s="162"/>
      <c r="X20" s="250" t="str">
        <f>IF(Y12&lt;&gt;"","Does the program utilize specific clinical or field affiliations for this location?","")</f>
        <v/>
      </c>
      <c r="Y20" s="162"/>
      <c r="Z20" s="162"/>
      <c r="AA20" s="162"/>
      <c r="AB20" s="162"/>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row>
    <row r="21" spans="2:96" ht="36" customHeight="1" x14ac:dyDescent="0.15">
      <c r="B21" s="878" t="str">
        <f>IF(F12&lt;&gt;"","PD responsible for management:","")</f>
        <v/>
      </c>
      <c r="C21" s="878"/>
      <c r="D21" s="878"/>
      <c r="E21" s="878"/>
      <c r="F21" s="876"/>
      <c r="G21" s="876"/>
      <c r="H21" s="876"/>
      <c r="I21" s="162"/>
      <c r="J21" s="876"/>
      <c r="K21" s="876"/>
      <c r="L21" s="876"/>
      <c r="M21" s="876"/>
      <c r="N21" s="250" t="str">
        <f>IF(O12&lt;&gt;"","PD responsible for management:","")</f>
        <v/>
      </c>
      <c r="O21" s="162"/>
      <c r="P21" s="162"/>
      <c r="Q21" s="162"/>
      <c r="R21" s="162"/>
      <c r="S21" s="250" t="str">
        <f>IF(T12&lt;&gt;"","PD responsible for management:","")</f>
        <v/>
      </c>
      <c r="T21" s="162"/>
      <c r="U21" s="162"/>
      <c r="V21" s="162"/>
      <c r="W21" s="162"/>
      <c r="X21" s="250" t="str">
        <f>IF(Y12&lt;&gt;"","PD responsible for management:","")</f>
        <v/>
      </c>
      <c r="Y21" s="162"/>
      <c r="Z21" s="162"/>
      <c r="AA21" s="162"/>
      <c r="AB21" s="162"/>
      <c r="AC21" s="19"/>
      <c r="AD21" s="19"/>
      <c r="AE21" s="19"/>
      <c r="AF21" s="19"/>
      <c r="AG21" s="19"/>
      <c r="AH21" s="19"/>
      <c r="AI21" s="56"/>
      <c r="AJ21" s="56"/>
      <c r="AK21" s="56"/>
      <c r="AL21" s="56"/>
      <c r="AM21" s="59"/>
      <c r="AN21" s="56"/>
      <c r="AO21" s="56" t="str">
        <f>IF(P21="Not Met","f","")</f>
        <v/>
      </c>
      <c r="AP21" s="56" t="str">
        <f>IF(Q21="Not Met","g","")</f>
        <v/>
      </c>
      <c r="AQ21" s="56" t="str">
        <f>IF(R21="Not Met","h","")</f>
        <v/>
      </c>
      <c r="AR21" s="59" t="str">
        <f>CONCATENATE(AN21,AO21,AP21,AQ21)</f>
        <v/>
      </c>
      <c r="AS21" s="56" t="str">
        <f>IF(T21="Not Met","i","")</f>
        <v/>
      </c>
      <c r="AT21" s="56" t="str">
        <f>IF(U21="Not Met","j","")</f>
        <v/>
      </c>
      <c r="AU21" s="56" t="str">
        <f>IF(V21="Not Met","k","")</f>
        <v/>
      </c>
      <c r="AV21" s="56" t="str">
        <f>IF(W21="Not Met","l","")</f>
        <v/>
      </c>
      <c r="AW21" s="59" t="str">
        <f>CONCATENATE(AS21,AT21,AU21,AV21)</f>
        <v/>
      </c>
      <c r="AX21" s="56" t="str">
        <f>IF(Y21="Not Met","m","")</f>
        <v/>
      </c>
      <c r="AY21" s="56" t="str">
        <f>IF(Z21="Not Met","n","")</f>
        <v/>
      </c>
      <c r="AZ21" s="56" t="str">
        <f>IF(AA21="Not Met","o","")</f>
        <v/>
      </c>
      <c r="BA21" s="56" t="str">
        <f>IF(AB21="Not Met","p","")</f>
        <v/>
      </c>
      <c r="BB21" s="59" t="str">
        <f>CONCATENATE(AX21,AY21,AZ21,BA21)</f>
        <v/>
      </c>
      <c r="BC21" s="56"/>
      <c r="BD21" s="56"/>
      <c r="BE21" s="56"/>
      <c r="BF21" s="56"/>
      <c r="BG21" s="56"/>
      <c r="BH21" s="56"/>
      <c r="BI21" s="56"/>
      <c r="BJ21" s="56"/>
      <c r="BK21" s="56"/>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row>
    <row r="22" spans="2:96" ht="52.5" customHeight="1" x14ac:dyDescent="0.15">
      <c r="B22" s="878" t="str">
        <f>IF(F12&lt;&gt;"","Satellite(s) Resources Assessment Matrix (RAM) completed 
(separate from main campus)?","")</f>
        <v/>
      </c>
      <c r="C22" s="878"/>
      <c r="D22" s="878"/>
      <c r="E22" s="878"/>
      <c r="F22" s="876"/>
      <c r="G22" s="876"/>
      <c r="H22" s="876"/>
      <c r="I22" s="162"/>
      <c r="J22" s="876"/>
      <c r="K22" s="876"/>
      <c r="L22" s="876"/>
      <c r="M22" s="876"/>
      <c r="N22" s="250" t="str">
        <f>IF(O12&lt;&gt;"","Satellite(s) Resources Assessment Matrix (RAM) completed 
(separate from main campus)?","")</f>
        <v/>
      </c>
      <c r="O22" s="162"/>
      <c r="P22" s="162"/>
      <c r="Q22" s="162"/>
      <c r="R22" s="162"/>
      <c r="S22" s="250" t="str">
        <f>IF(T12&lt;&gt;"","Satellite(s) Resources Assessment Matrix (RAM) completed 
(separate from main campus)?","")</f>
        <v/>
      </c>
      <c r="T22" s="162"/>
      <c r="U22" s="162"/>
      <c r="V22" s="162"/>
      <c r="W22" s="162"/>
      <c r="X22" s="250" t="str">
        <f>IF(Y12&lt;&gt;"","Satellite(s) Resources Assessment Matrix (RAM) completed 
(separate from main campus)?","")</f>
        <v/>
      </c>
      <c r="Y22" s="162"/>
      <c r="Z22" s="162"/>
      <c r="AA22" s="162"/>
      <c r="AB22" s="162"/>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row>
    <row r="23" spans="2:96" ht="39" customHeight="1" x14ac:dyDescent="0.15">
      <c r="B23" s="878" t="str">
        <f>IF(F12&lt;&gt;"","Were the equipment &amp; supplies sufficient?","")</f>
        <v/>
      </c>
      <c r="C23" s="878"/>
      <c r="D23" s="878"/>
      <c r="E23" s="878"/>
      <c r="F23" s="876"/>
      <c r="G23" s="876"/>
      <c r="H23" s="876"/>
      <c r="I23" s="162"/>
      <c r="J23" s="876"/>
      <c r="K23" s="876"/>
      <c r="L23" s="876"/>
      <c r="M23" s="876"/>
      <c r="N23" s="250" t="str">
        <f>IF(O12&lt;&gt;"","Were the equipment &amp; supplies sufficient?","")</f>
        <v/>
      </c>
      <c r="O23" s="162"/>
      <c r="P23" s="162"/>
      <c r="Q23" s="162"/>
      <c r="R23" s="162"/>
      <c r="S23" s="250" t="str">
        <f>IF(T12&lt;&gt;"","Were the equipment &amp; supplies sufficient?","")</f>
        <v/>
      </c>
      <c r="T23" s="162"/>
      <c r="U23" s="162"/>
      <c r="V23" s="162"/>
      <c r="W23" s="162"/>
      <c r="X23" s="250" t="str">
        <f>IF(Y12&lt;&gt;"","Were the equipment &amp; supplies sufficient?","")</f>
        <v/>
      </c>
      <c r="Y23" s="162"/>
      <c r="Z23" s="162"/>
      <c r="AA23" s="162"/>
      <c r="AB23" s="162"/>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row>
    <row r="24" spans="2:96" ht="42" customHeight="1" x14ac:dyDescent="0.15">
      <c r="B24" s="878" t="str">
        <f>IF(F12&lt;&gt;"","Were the facilities sufficient?","")</f>
        <v/>
      </c>
      <c r="C24" s="878"/>
      <c r="D24" s="878"/>
      <c r="E24" s="878"/>
      <c r="F24" s="876"/>
      <c r="G24" s="876"/>
      <c r="H24" s="876"/>
      <c r="I24" s="162"/>
      <c r="J24" s="876"/>
      <c r="K24" s="876"/>
      <c r="L24" s="876"/>
      <c r="M24" s="876"/>
      <c r="N24" s="250" t="str">
        <f>IF(O12&lt;&gt;"","Were the facilities sufficient?","")</f>
        <v/>
      </c>
      <c r="O24" s="162"/>
      <c r="P24" s="162"/>
      <c r="Q24" s="162"/>
      <c r="R24" s="162"/>
      <c r="S24" s="250" t="str">
        <f>IF(T12&lt;&gt;"","Were the facilities sufficient?","")</f>
        <v/>
      </c>
      <c r="T24" s="162"/>
      <c r="U24" s="162"/>
      <c r="V24" s="162"/>
      <c r="W24" s="162"/>
      <c r="X24" s="250" t="str">
        <f>IF(Y12&lt;&gt;"","Were the facilities sufficient?","")</f>
        <v/>
      </c>
      <c r="Y24" s="162"/>
      <c r="Z24" s="162"/>
      <c r="AA24" s="162"/>
      <c r="AB24" s="162"/>
      <c r="AC24" s="19"/>
      <c r="AD24" s="19"/>
      <c r="AE24" s="19"/>
      <c r="AF24" s="19"/>
      <c r="AG24" s="19"/>
      <c r="AH24" s="19"/>
      <c r="AI24" s="56"/>
      <c r="AJ24" s="56"/>
      <c r="AK24" s="56"/>
      <c r="AL24" s="56"/>
      <c r="AM24" s="59"/>
      <c r="AN24" s="56"/>
      <c r="AO24" s="56"/>
      <c r="AP24" s="56"/>
      <c r="AQ24" s="56"/>
      <c r="AR24" s="59"/>
      <c r="AS24" s="56"/>
      <c r="AT24" s="56"/>
      <c r="AU24" s="56"/>
      <c r="AV24" s="56"/>
      <c r="AW24" s="59"/>
      <c r="AX24" s="56"/>
      <c r="AY24" s="56"/>
      <c r="AZ24" s="56"/>
      <c r="BA24" s="56"/>
      <c r="BB24" s="56"/>
      <c r="BC24" s="56"/>
      <c r="BD24" s="19"/>
      <c r="BE24" s="56"/>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row>
    <row r="25" spans="2:96" ht="62.25" customHeight="1" x14ac:dyDescent="0.15">
      <c r="B25" s="878" t="str">
        <f>IF(OR(F$24="Not Met",I$24="Not Met",J$24="Not Met",L$24="Not Met",O$24="Not Met"),"Rationale for 'Not Met' OR 
Clarification Needed for Facilities:","")</f>
        <v/>
      </c>
      <c r="C25" s="878"/>
      <c r="D25" s="878"/>
      <c r="E25" s="878"/>
      <c r="F25" s="877"/>
      <c r="G25" s="877"/>
      <c r="H25" s="877"/>
      <c r="I25" s="163"/>
      <c r="J25" s="877"/>
      <c r="K25" s="877"/>
      <c r="L25" s="877"/>
      <c r="M25" s="877"/>
      <c r="N25" s="250" t="str">
        <f>IF(OR(O$24="Not Met",P$24="Not Met",Q$24="Not Met",R$24="Not Met"),"Rationale for 'Not Met' OR 
Clarification Needed for Facilities:","")</f>
        <v/>
      </c>
      <c r="O25" s="163"/>
      <c r="P25" s="163"/>
      <c r="Q25" s="163"/>
      <c r="R25" s="163"/>
      <c r="S25" s="250" t="str">
        <f>IF(OR(T$24="Not Met",U$24="Not Met",V$24="Not Met",W$24="Not Met"),"Rationale for 'Not Met' OR 
Clarification Needed for Facilities:","")</f>
        <v/>
      </c>
      <c r="T25" s="163"/>
      <c r="U25" s="163"/>
      <c r="V25" s="163"/>
      <c r="W25" s="163"/>
      <c r="X25" s="250" t="str">
        <f>IF(OR(Y$24="Not Met",Z$24="Not Met",AA$24="Not Met",AB$24="Not Met"),"Rationale for 'Not Met' OR 
Clarification Needed for Facilities:","")</f>
        <v/>
      </c>
      <c r="Y25" s="163"/>
      <c r="Z25" s="163"/>
      <c r="AA25" s="163"/>
      <c r="AB25" s="163"/>
      <c r="AC25" s="19"/>
      <c r="AD25" s="19"/>
      <c r="AE25" s="19"/>
      <c r="AF25" s="19"/>
      <c r="AG25" s="19"/>
      <c r="AH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row>
    <row r="26" spans="2:96" ht="68.25" customHeight="1" x14ac:dyDescent="0.15">
      <c r="B26" s="878" t="str">
        <f>IF(F12&lt;&gt;"","Program materials apply to the satellite course:
(program catalog, student handbook, policy manual, &amp; clinical/field internship materials)","")</f>
        <v/>
      </c>
      <c r="C26" s="878"/>
      <c r="D26" s="878"/>
      <c r="E26" s="878"/>
      <c r="F26" s="876"/>
      <c r="G26" s="876"/>
      <c r="H26" s="876"/>
      <c r="I26" s="162"/>
      <c r="J26" s="876"/>
      <c r="K26" s="876"/>
      <c r="L26" s="876"/>
      <c r="M26" s="876"/>
      <c r="N26" s="250" t="str">
        <f>IF(O12&lt;&gt;"","Program materials apply to the satellite course:
(program catalog, student handbook, policy manual, &amp; clinical/field internship materials)","")</f>
        <v/>
      </c>
      <c r="O26" s="162"/>
      <c r="P26" s="162"/>
      <c r="Q26" s="162"/>
      <c r="R26" s="162"/>
      <c r="S26" s="250" t="str">
        <f>IF(T12&lt;&gt;"","Program materials apply to the satellite course:
(program catalog, student handbook, policy manual, &amp; clinical/field internship materials)","")</f>
        <v/>
      </c>
      <c r="T26" s="162"/>
      <c r="U26" s="162"/>
      <c r="V26" s="162"/>
      <c r="W26" s="162"/>
      <c r="X26" s="250" t="str">
        <f>IF(Y12&lt;&gt;"","Program materials apply to the satellite course:
(program catalog, student handbook, policy manual, &amp; clinical/field internship materials)","")</f>
        <v/>
      </c>
      <c r="Y26" s="162"/>
      <c r="Z26" s="162"/>
      <c r="AA26" s="162"/>
      <c r="AB26" s="162"/>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row>
    <row r="27" spans="2:96" ht="62.25" customHeight="1" x14ac:dyDescent="0.15">
      <c r="B27" s="878" t="str">
        <f>IF(OR(F$26="Not Met",I$26="Not Met",J$26="Not Met",L$26="Not Met",O$26="Not Met"),"Rationale for 'Not Met' OR Clarification 
Needed for Satellite Program Materials:","")</f>
        <v/>
      </c>
      <c r="C27" s="878"/>
      <c r="D27" s="878"/>
      <c r="E27" s="878"/>
      <c r="F27" s="877"/>
      <c r="G27" s="877"/>
      <c r="H27" s="877"/>
      <c r="I27" s="164"/>
      <c r="J27" s="875"/>
      <c r="K27" s="875"/>
      <c r="L27" s="875"/>
      <c r="M27" s="875"/>
      <c r="N27" s="250" t="str">
        <f>IF(OR(O$26="Not Met",P$26="Not Met",Q$26="Not Met",R$26="Not Met"),"Rationale for 'Not Met' OR Clarification 
Needed for Satellite Program Materials:","")</f>
        <v/>
      </c>
      <c r="O27" s="163"/>
      <c r="P27" s="163"/>
      <c r="Q27" s="163"/>
      <c r="R27" s="163"/>
      <c r="S27" s="250" t="str">
        <f>IF(OR(T$26="Not Met",U$26="Not Met",V$26="Not Met",W$26="Not Met"),"Rationale for 'Not Met' OR Clarification 
Needed for Satellite Program Materials:","")</f>
        <v/>
      </c>
      <c r="T27" s="163"/>
      <c r="U27" s="163"/>
      <c r="V27" s="163"/>
      <c r="W27" s="163"/>
      <c r="X27" s="250" t="str">
        <f>IF(OR(Y$26="Not Met",Z$26="Not Met",AA$26="Not Met",AB$26="Not Met"),"Rationale for 'Not Met' OR Clarification 
Needed for Satellite Program Materials:","")</f>
        <v/>
      </c>
      <c r="Y27" s="163"/>
      <c r="Z27" s="163"/>
      <c r="AA27" s="163"/>
      <c r="AB27" s="163"/>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row>
    <row r="28" spans="2:96" ht="42" customHeight="1" x14ac:dyDescent="0.15">
      <c r="B28" s="878" t="str">
        <f>IF(F12&lt;&gt;"","Were students interviewed?","")</f>
        <v/>
      </c>
      <c r="C28" s="878"/>
      <c r="D28" s="878"/>
      <c r="E28" s="878"/>
      <c r="F28" s="876"/>
      <c r="G28" s="876"/>
      <c r="H28" s="876"/>
      <c r="I28" s="162"/>
      <c r="J28" s="876"/>
      <c r="K28" s="876"/>
      <c r="L28" s="876"/>
      <c r="M28" s="876"/>
      <c r="N28" s="250" t="str">
        <f>IF(O12&lt;&gt;"","Were students interviewed?","")</f>
        <v/>
      </c>
      <c r="O28" s="162"/>
      <c r="P28" s="162"/>
      <c r="Q28" s="162"/>
      <c r="R28" s="162"/>
      <c r="S28" s="250" t="str">
        <f>IF(T12&lt;&gt;"","Were students interviewed?","")</f>
        <v/>
      </c>
      <c r="T28" s="162"/>
      <c r="U28" s="162"/>
      <c r="V28" s="162"/>
      <c r="W28" s="162"/>
      <c r="X28" s="250" t="str">
        <f>IF(Y12&lt;&gt;"","Were students interviewed?","")</f>
        <v/>
      </c>
      <c r="Y28" s="162"/>
      <c r="Z28" s="162"/>
      <c r="AA28" s="162"/>
      <c r="AB28" s="162"/>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row>
    <row r="29" spans="2:96" ht="42" customHeight="1" x14ac:dyDescent="0.15">
      <c r="B29" s="878" t="str">
        <f>IF(F12&lt;&gt;"","Were graduates interviewed?","")</f>
        <v/>
      </c>
      <c r="C29" s="878"/>
      <c r="D29" s="878"/>
      <c r="E29" s="878"/>
      <c r="F29" s="876"/>
      <c r="G29" s="876"/>
      <c r="H29" s="876"/>
      <c r="I29" s="162"/>
      <c r="J29" s="876"/>
      <c r="K29" s="876"/>
      <c r="L29" s="876"/>
      <c r="M29" s="876"/>
      <c r="N29" s="250" t="str">
        <f>IF(O12&lt;&gt;"","Were graduates interviewed?","")</f>
        <v/>
      </c>
      <c r="O29" s="162"/>
      <c r="P29" s="162"/>
      <c r="Q29" s="162"/>
      <c r="R29" s="162"/>
      <c r="S29" s="250" t="str">
        <f>IF(T12&lt;&gt;"","Were graduates interviewed?","")</f>
        <v/>
      </c>
      <c r="T29" s="162"/>
      <c r="U29" s="162"/>
      <c r="V29" s="162"/>
      <c r="W29" s="162"/>
      <c r="X29" s="250" t="str">
        <f>IF(Y12&lt;&gt;"","Were graduates interviewed?","")</f>
        <v/>
      </c>
      <c r="Y29" s="162"/>
      <c r="Z29" s="162"/>
      <c r="AA29" s="162"/>
      <c r="AB29" s="162"/>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row>
    <row r="30" spans="2:96" ht="57" customHeight="1" x14ac:dyDescent="0.15">
      <c r="B30" s="878" t="str">
        <f>IF(F12&lt;&gt;"","Is distant technology is used to deliver content?","")</f>
        <v/>
      </c>
      <c r="C30" s="878"/>
      <c r="D30" s="878"/>
      <c r="E30" s="878"/>
      <c r="F30" s="876"/>
      <c r="G30" s="876"/>
      <c r="H30" s="876"/>
      <c r="I30" s="162"/>
      <c r="J30" s="876"/>
      <c r="K30" s="876"/>
      <c r="L30" s="876"/>
      <c r="M30" s="876"/>
      <c r="N30" s="250" t="str">
        <f>IF(O12&lt;&gt;"","Is distant technology is used to deliver content?","")</f>
        <v/>
      </c>
      <c r="O30" s="162"/>
      <c r="P30" s="162"/>
      <c r="Q30" s="162"/>
      <c r="R30" s="162"/>
      <c r="S30" s="250" t="str">
        <f>IF(T12&lt;&gt;"","Is distant technology is used to deliver content?","")</f>
        <v/>
      </c>
      <c r="T30" s="162"/>
      <c r="U30" s="162"/>
      <c r="V30" s="162"/>
      <c r="W30" s="162"/>
      <c r="X30" s="250" t="str">
        <f>IF(Y12&lt;&gt;"","Is distant technology is used to deliver content?","")</f>
        <v/>
      </c>
      <c r="Y30" s="162"/>
      <c r="Z30" s="162"/>
      <c r="AA30" s="162"/>
      <c r="AB30" s="162"/>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row>
    <row r="31" spans="2:96" ht="42" customHeight="1" x14ac:dyDescent="0.15">
      <c r="B31" s="878" t="str">
        <f>IF(F12&lt;&gt;"","Student records are permanently maintained at the main campus location:","")</f>
        <v/>
      </c>
      <c r="C31" s="878"/>
      <c r="D31" s="878"/>
      <c r="E31" s="878"/>
      <c r="F31" s="876"/>
      <c r="G31" s="876"/>
      <c r="H31" s="876"/>
      <c r="I31" s="162"/>
      <c r="J31" s="876"/>
      <c r="K31" s="876"/>
      <c r="L31" s="876"/>
      <c r="M31" s="876"/>
      <c r="N31" s="250" t="str">
        <f>IF(O12&lt;&gt;"","Student records are permanently maintained at the main campus location:","")</f>
        <v/>
      </c>
      <c r="O31" s="162"/>
      <c r="P31" s="162"/>
      <c r="Q31" s="162"/>
      <c r="R31" s="162"/>
      <c r="S31" s="250" t="str">
        <f>IF(T12&lt;&gt;"","Student records are permanently maintained at the main campus location:","")</f>
        <v/>
      </c>
      <c r="T31" s="162"/>
      <c r="U31" s="162"/>
      <c r="V31" s="162"/>
      <c r="W31" s="162"/>
      <c r="X31" s="250" t="str">
        <f>IF(Y12&lt;&gt;"","Student records are permanently maintained at the main campus location:","")</f>
        <v/>
      </c>
      <c r="Y31" s="162"/>
      <c r="Z31" s="162"/>
      <c r="AA31" s="162"/>
      <c r="AB31" s="162"/>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row>
    <row r="32" spans="2:96" ht="98.25" customHeight="1" x14ac:dyDescent="0.15">
      <c r="B32" s="878" t="str">
        <f>IF(OR(F$31="Not Met",I$31="Not Met",J$31="Not Met",L$31="Not Met",O$31="Not Met"),"Where is the permanent location?","")</f>
        <v/>
      </c>
      <c r="C32" s="878"/>
      <c r="D32" s="878"/>
      <c r="E32" s="878"/>
      <c r="F32" s="877"/>
      <c r="G32" s="877"/>
      <c r="H32" s="877"/>
      <c r="I32" s="164"/>
      <c r="J32" s="875"/>
      <c r="K32" s="875"/>
      <c r="L32" s="875"/>
      <c r="M32" s="875"/>
      <c r="N32" s="250" t="str">
        <f>IF(OR(O$31="Not Met",P$31="Not Met",Q$31="Not Met",R$31="Not Met"),"Where is the permanent location?","")</f>
        <v/>
      </c>
      <c r="O32" s="163"/>
      <c r="P32" s="163"/>
      <c r="Q32" s="163"/>
      <c r="R32" s="163"/>
      <c r="S32" s="250" t="str">
        <f>IF(OR(T$31="Not Met",U$31="Not Met",V$31="Not Met",W$31="Not Met"),"Where is the permanent location?","")</f>
        <v/>
      </c>
      <c r="T32" s="163"/>
      <c r="U32" s="163"/>
      <c r="V32" s="163"/>
      <c r="W32" s="163"/>
      <c r="X32" s="250" t="str">
        <f>IF(OR(Y$31="Not Met",Z$31="Not Met",AA$31="Not Met",AB$31="Not Met"),"Where is the permanent location?","")</f>
        <v/>
      </c>
      <c r="Y32" s="163"/>
      <c r="Z32" s="163"/>
      <c r="AA32" s="163"/>
      <c r="AB32" s="163"/>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row>
    <row r="33" spans="2:96" ht="38" customHeight="1" x14ac:dyDescent="0.15">
      <c r="B33" s="881" t="str">
        <f>IF(F12&lt;&gt;"","There is evidence the following items are consistent with the main campus:","")</f>
        <v/>
      </c>
      <c r="C33" s="881"/>
      <c r="D33" s="881"/>
      <c r="E33" s="881"/>
      <c r="F33" s="888"/>
      <c r="G33" s="888"/>
      <c r="H33" s="888"/>
      <c r="I33" s="165"/>
      <c r="J33" s="682"/>
      <c r="K33" s="682"/>
      <c r="L33" s="682"/>
      <c r="M33" s="682"/>
      <c r="N33" s="251" t="str">
        <f>IF(O12&lt;&gt;"","There is evidence the following items are consistent with the main campus:","")</f>
        <v/>
      </c>
      <c r="O33" s="165"/>
      <c r="P33" s="165"/>
      <c r="Q33" s="165"/>
      <c r="R33" s="165"/>
      <c r="S33" s="251" t="str">
        <f>IF(T12&lt;&gt;"","There is evidence the following items are consistent with the main campus:","")</f>
        <v/>
      </c>
      <c r="T33" s="165"/>
      <c r="U33" s="165"/>
      <c r="V33" s="165"/>
      <c r="W33" s="165"/>
      <c r="X33" s="251" t="str">
        <f>IF(Y12&lt;&gt;"","There is evidence the following items are consistent with the main campus:","")</f>
        <v/>
      </c>
      <c r="Y33" s="165"/>
      <c r="Z33" s="165"/>
      <c r="AA33" s="165"/>
      <c r="AB33" s="165"/>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row>
    <row r="34" spans="2:96" ht="42" customHeight="1" x14ac:dyDescent="0.15">
      <c r="B34" s="878" t="str">
        <f>IF(F12&lt;&gt;"","Curricula:","")</f>
        <v/>
      </c>
      <c r="C34" s="878"/>
      <c r="D34" s="878"/>
      <c r="E34" s="878"/>
      <c r="F34" s="876"/>
      <c r="G34" s="876"/>
      <c r="H34" s="876"/>
      <c r="I34" s="162"/>
      <c r="J34" s="876"/>
      <c r="K34" s="876"/>
      <c r="L34" s="876"/>
      <c r="M34" s="876"/>
      <c r="N34" s="250" t="str">
        <f>IF(O12&lt;&gt;"","Curricula:","")</f>
        <v/>
      </c>
      <c r="O34" s="162"/>
      <c r="P34" s="162"/>
      <c r="Q34" s="162"/>
      <c r="R34" s="162"/>
      <c r="S34" s="250" t="str">
        <f>IF(T12&lt;&gt;"","Curricula:","")</f>
        <v/>
      </c>
      <c r="T34" s="162"/>
      <c r="U34" s="162"/>
      <c r="V34" s="162"/>
      <c r="W34" s="162"/>
      <c r="X34" s="250" t="str">
        <f>IF(Y12&lt;&gt;"","Curricula:","")</f>
        <v/>
      </c>
      <c r="Y34" s="162"/>
      <c r="Z34" s="162"/>
      <c r="AA34" s="162"/>
      <c r="AB34" s="162"/>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row>
    <row r="35" spans="2:96" ht="45" customHeight="1" x14ac:dyDescent="0.15">
      <c r="B35" s="878" t="str">
        <f>IF(OR(F$34="Not Met",I$34="Not Met",J$34="Not Met",L$34="Not Met",O$34="Not Met"),"Rationale for 'Not Met' OR 
Clarification Needed for Curricula:","")</f>
        <v/>
      </c>
      <c r="C35" s="878"/>
      <c r="D35" s="878"/>
      <c r="E35" s="878"/>
      <c r="F35" s="877"/>
      <c r="G35" s="877"/>
      <c r="H35" s="877"/>
      <c r="I35" s="164"/>
      <c r="J35" s="875"/>
      <c r="K35" s="875"/>
      <c r="L35" s="875"/>
      <c r="M35" s="875"/>
      <c r="N35" s="250" t="str">
        <f>IF(OR(O$34="Not Met",P$34="Not Met",Q$34="Not Met",R$34="Not Met"),"Rationale for 'Not Met' OR 
Clarification Needed for Curricula:","")</f>
        <v/>
      </c>
      <c r="O35" s="163"/>
      <c r="P35" s="163"/>
      <c r="Q35" s="163"/>
      <c r="R35" s="163"/>
      <c r="S35" s="250" t="str">
        <f>IF(OR(T$34="Not Met",U$34="Not Met",V$34="Not Met",W$34="Not Met"),"Rationale for 'Not Met' OR 
Clarification Needed for Curricula:","")</f>
        <v/>
      </c>
      <c r="T35" s="163"/>
      <c r="U35" s="163"/>
      <c r="V35" s="163"/>
      <c r="W35" s="163"/>
      <c r="X35" s="250" t="str">
        <f>IF(OR(Y$34="Not Met",Z$34="Not Met",AA$34="Not Met",AB$34="Not Met"),"Rationale for 'Not Met' OR 
Clarification Needed for Curricula:","")</f>
        <v/>
      </c>
      <c r="Y35" s="163"/>
      <c r="Z35" s="163"/>
      <c r="AA35" s="163"/>
      <c r="AB35" s="163"/>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row>
    <row r="36" spans="2:96" ht="42" customHeight="1" x14ac:dyDescent="0.15">
      <c r="B36" s="878" t="str">
        <f>IF(F12&lt;&gt;"","Course Syllabi:","")</f>
        <v/>
      </c>
      <c r="C36" s="878"/>
      <c r="D36" s="878"/>
      <c r="E36" s="878"/>
      <c r="F36" s="876"/>
      <c r="G36" s="876"/>
      <c r="H36" s="876"/>
      <c r="I36" s="162"/>
      <c r="J36" s="876"/>
      <c r="K36" s="876"/>
      <c r="L36" s="876"/>
      <c r="M36" s="876"/>
      <c r="N36" s="250" t="str">
        <f>IF(O12&lt;&gt;"","Course Syllabi:","")</f>
        <v/>
      </c>
      <c r="O36" s="162"/>
      <c r="P36" s="162"/>
      <c r="Q36" s="162"/>
      <c r="R36" s="162"/>
      <c r="S36" s="250" t="str">
        <f>IF(T12&lt;&gt;"","Course Syllabi:","")</f>
        <v/>
      </c>
      <c r="T36" s="162"/>
      <c r="U36" s="162"/>
      <c r="V36" s="162"/>
      <c r="W36" s="162"/>
      <c r="X36" s="250" t="str">
        <f>IF(Y12&lt;&gt;"","Course Syllabi:","")</f>
        <v/>
      </c>
      <c r="Y36" s="162"/>
      <c r="Z36" s="162"/>
      <c r="AA36" s="162"/>
      <c r="AB36" s="162"/>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row>
    <row r="37" spans="2:96" ht="45.75" customHeight="1" x14ac:dyDescent="0.15">
      <c r="B37" s="878" t="str">
        <f>IF(OR(F$36="Not Met",I$36="Not Met",J$36="Not Met",L$36="Not Met",O$36="Not Met"),"Rationale for 'Not Met' OR 
Clarification Needed for Course Syllabi:","")</f>
        <v/>
      </c>
      <c r="C37" s="878"/>
      <c r="D37" s="878"/>
      <c r="E37" s="878"/>
      <c r="F37" s="877"/>
      <c r="G37" s="877"/>
      <c r="H37" s="877"/>
      <c r="I37" s="164"/>
      <c r="J37" s="875"/>
      <c r="K37" s="875"/>
      <c r="L37" s="875"/>
      <c r="M37" s="875"/>
      <c r="N37" s="250" t="str">
        <f>IF(OR(O36="Not Met",P36="Not Met",Q36="Not Met",R36="Not Met"),"Rationale for 'Not Met' OR 
Clarification Needed for Course Syllabi:","")</f>
        <v/>
      </c>
      <c r="O37" s="163"/>
      <c r="P37" s="163"/>
      <c r="Q37" s="163"/>
      <c r="R37" s="163"/>
      <c r="S37" s="250" t="str">
        <f>IF(OR(T36="Not Met",U36="Not Met",V36="Not Met",W36="Not Met"),"Rationale for 'Not Met' OR 
Clarification Needed for Course Syllabi:","")</f>
        <v/>
      </c>
      <c r="T37" s="163"/>
      <c r="U37" s="163"/>
      <c r="V37" s="163"/>
      <c r="W37" s="163"/>
      <c r="X37" s="250" t="str">
        <f>IF(OR(Y36="Not Met",Z36="Not Met",AA36="Not Met",AB36="Not Met"),"Rationale for 'Not Met' OR 
Clarification Needed for Course Syllabi:","")</f>
        <v/>
      </c>
      <c r="Y37" s="163"/>
      <c r="Z37" s="163"/>
      <c r="AA37" s="163"/>
      <c r="AB37" s="163"/>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row>
    <row r="38" spans="2:96" ht="57" customHeight="1" x14ac:dyDescent="0.15">
      <c r="B38" s="878" t="str">
        <f>IF(F12&lt;&gt;"","Faculty Monitoring &amp; Oversight of Sites:
(clinical, field exp. &amp; capstone field internship)","")</f>
        <v/>
      </c>
      <c r="C38" s="878"/>
      <c r="D38" s="878"/>
      <c r="E38" s="878"/>
      <c r="F38" s="876"/>
      <c r="G38" s="876"/>
      <c r="H38" s="876"/>
      <c r="I38" s="162"/>
      <c r="J38" s="876"/>
      <c r="K38" s="876"/>
      <c r="L38" s="876"/>
      <c r="M38" s="876"/>
      <c r="N38" s="250" t="str">
        <f>IF(O12&lt;&gt;"","Faculty Monitoring &amp; Oversight of Sites:
(clinical, field exp. &amp; capstone field internship)","")</f>
        <v/>
      </c>
      <c r="O38" s="162"/>
      <c r="P38" s="162"/>
      <c r="Q38" s="162"/>
      <c r="R38" s="162"/>
      <c r="S38" s="250" t="str">
        <f>IF(T12&lt;&gt;"","Faculty Monitoring &amp; Oversight of Sites:
(clinical, field exp. &amp; capstone field internship)","")</f>
        <v/>
      </c>
      <c r="T38" s="162"/>
      <c r="U38" s="162"/>
      <c r="V38" s="162"/>
      <c r="W38" s="162"/>
      <c r="X38" s="250" t="str">
        <f>IF(Y12&lt;&gt;"","Faculty Monitoring &amp; Oversight of Sites:
(clinical, field exp. &amp; capstone field internship)","")</f>
        <v/>
      </c>
      <c r="Y38" s="162"/>
      <c r="Z38" s="162"/>
      <c r="AA38" s="162"/>
      <c r="AB38" s="162"/>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c r="CQ38" s="19"/>
      <c r="CR38" s="19"/>
    </row>
    <row r="39" spans="2:96" ht="49.5" customHeight="1" x14ac:dyDescent="0.15">
      <c r="B39" s="878" t="str">
        <f>IF(OR(F$38="Not Met",I$38="Not Met",J$38="Not Met",L$38="Not Met",O$38="Not Met"),"Rationale for 'Not Met' OR Clarification 
Needed for Monitoring &amp; Oversight of Sites:","")</f>
        <v/>
      </c>
      <c r="C39" s="878"/>
      <c r="D39" s="878"/>
      <c r="E39" s="878"/>
      <c r="F39" s="877"/>
      <c r="G39" s="877"/>
      <c r="H39" s="877"/>
      <c r="I39" s="164"/>
      <c r="J39" s="875"/>
      <c r="K39" s="875"/>
      <c r="L39" s="875"/>
      <c r="M39" s="875"/>
      <c r="N39" s="250" t="str">
        <f>IF(OR(O38="Not Met",P38="Not Met",Q38="Not Met",R38="Not Met"),"Rationale for 'Not Met' OR Clarification 
Needed for Monitoring &amp; Oversight of Sites:","")</f>
        <v/>
      </c>
      <c r="O39" s="163"/>
      <c r="P39" s="163"/>
      <c r="Q39" s="163"/>
      <c r="R39" s="163"/>
      <c r="S39" s="250" t="str">
        <f>IF(OR(T38="Not Met",U38="Not Met",V38="Not Met",W38="Not Met"),"Rationale for 'Not Met' OR Clarification 
Needed for Monitoring &amp; Oversight of Sites:","")</f>
        <v/>
      </c>
      <c r="T39" s="163"/>
      <c r="U39" s="163"/>
      <c r="V39" s="163"/>
      <c r="W39" s="163"/>
      <c r="X39" s="250" t="str">
        <f>IF(OR(Y38="Not Met",Z38="Not Met",AA38="Not Met",AB38="Not Met"),"Rationale for 'Not Met' OR Clarification 
Needed for Monitoring &amp; Oversight of Sites:","")</f>
        <v/>
      </c>
      <c r="Y39" s="163"/>
      <c r="Z39" s="163"/>
      <c r="AA39" s="163"/>
      <c r="AB39" s="163"/>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row>
    <row r="40" spans="2:96" ht="42" customHeight="1" x14ac:dyDescent="0.15">
      <c r="B40" s="878" t="str">
        <f>IF(F12&lt;&gt;"","Scheduled Course Hours &amp; Sequencing:","")</f>
        <v/>
      </c>
      <c r="C40" s="878"/>
      <c r="D40" s="878"/>
      <c r="E40" s="878"/>
      <c r="F40" s="876"/>
      <c r="G40" s="876"/>
      <c r="H40" s="876"/>
      <c r="I40" s="162"/>
      <c r="J40" s="876"/>
      <c r="K40" s="876"/>
      <c r="L40" s="876"/>
      <c r="M40" s="876"/>
      <c r="N40" s="250" t="str">
        <f>IF(O12&lt;&gt;"","Scheduled Course Hours &amp; Sequencing:","")</f>
        <v/>
      </c>
      <c r="O40" s="162"/>
      <c r="P40" s="162"/>
      <c r="Q40" s="162"/>
      <c r="R40" s="162"/>
      <c r="S40" s="250" t="str">
        <f>IF(T12&lt;&gt;"","Scheduled Course Hours &amp; Sequencing:","")</f>
        <v/>
      </c>
      <c r="T40" s="162"/>
      <c r="U40" s="162"/>
      <c r="V40" s="162"/>
      <c r="W40" s="162"/>
      <c r="X40" s="250" t="str">
        <f>IF(Y12&lt;&gt;"","Scheduled Course Hours &amp; Sequencing:","")</f>
        <v/>
      </c>
      <c r="Y40" s="162"/>
      <c r="Z40" s="162"/>
      <c r="AA40" s="162"/>
      <c r="AB40" s="162"/>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row>
    <row r="41" spans="2:96" ht="52.5" customHeight="1" x14ac:dyDescent="0.15">
      <c r="B41" s="878" t="str">
        <f>IF(OR(F$40="Not Met",I$40="Not Met",J$40="Not Met",L$40="Not Met",O$40="Not Met"),"Rationale for 'Not Met' OR Clarification 
Needed for Course Hours &amp; Sequencing:","")</f>
        <v/>
      </c>
      <c r="C41" s="878"/>
      <c r="D41" s="878"/>
      <c r="E41" s="878"/>
      <c r="F41" s="877"/>
      <c r="G41" s="877"/>
      <c r="H41" s="877"/>
      <c r="I41" s="164"/>
      <c r="J41" s="875"/>
      <c r="K41" s="875"/>
      <c r="L41" s="875"/>
      <c r="M41" s="875"/>
      <c r="N41" s="250" t="str">
        <f>IF(OR(O40="Not Met",P40="Not Met",Q40="Not Met",R40="Not Met"),"Rationale for 'Not Met' OR Clarification 
Needed for Course Hours &amp; Sequencing:","")</f>
        <v/>
      </c>
      <c r="O41" s="163"/>
      <c r="P41" s="163"/>
      <c r="Q41" s="163"/>
      <c r="R41" s="163"/>
      <c r="S41" s="250" t="str">
        <f>IF(OR(T40="Not Met",U40="Not Met",V40="Not Met",W40="Not Met"),"Rationale for 'Not Met' OR Clarification 
Needed for Course Hours &amp; Sequencing:","")</f>
        <v/>
      </c>
      <c r="T41" s="163"/>
      <c r="U41" s="163"/>
      <c r="V41" s="163"/>
      <c r="W41" s="163"/>
      <c r="X41" s="250" t="str">
        <f>IF(OR(Y40="Not Met",Z40="Not Met",AA40="Not Met",AB40="Not Met"),"Rationale for 'Not Met' OR Clarification 
Needed for Course Hours &amp; Sequencing:","")</f>
        <v/>
      </c>
      <c r="Y41" s="163"/>
      <c r="Z41" s="163"/>
      <c r="AA41" s="163"/>
      <c r="AB41" s="163"/>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c r="CI41" s="19"/>
      <c r="CJ41" s="19"/>
      <c r="CK41" s="19"/>
      <c r="CL41" s="19"/>
      <c r="CM41" s="19"/>
      <c r="CN41" s="19"/>
      <c r="CO41" s="19"/>
      <c r="CP41" s="19"/>
      <c r="CQ41" s="19"/>
      <c r="CR41" s="19"/>
    </row>
    <row r="42" spans="2:96" ht="42" customHeight="1" x14ac:dyDescent="0.15">
      <c r="B42" s="878" t="str">
        <f>IF(F12&lt;&gt;"","   Student Evaluation Tools: 
(cognitive, psychomotor, &amp; affective domains)","")</f>
        <v/>
      </c>
      <c r="C42" s="878"/>
      <c r="D42" s="878"/>
      <c r="E42" s="878"/>
      <c r="F42" s="876"/>
      <c r="G42" s="876"/>
      <c r="H42" s="876"/>
      <c r="I42" s="162"/>
      <c r="J42" s="876"/>
      <c r="K42" s="876"/>
      <c r="L42" s="876"/>
      <c r="M42" s="876"/>
      <c r="N42" s="250" t="str">
        <f>IF(O12&lt;&gt;"","   Student Evaluation Tools: 
(cognitive, psychomotor, &amp; affective domains)","")</f>
        <v/>
      </c>
      <c r="O42" s="162"/>
      <c r="P42" s="162"/>
      <c r="Q42" s="162"/>
      <c r="R42" s="162"/>
      <c r="S42" s="250" t="str">
        <f>IF(T12&lt;&gt;"","   Student Evaluation Tools: 
(cognitive, psychomotor, &amp; affective domains)","")</f>
        <v/>
      </c>
      <c r="T42" s="162"/>
      <c r="U42" s="162"/>
      <c r="V42" s="162"/>
      <c r="W42" s="162"/>
      <c r="X42" s="250" t="str">
        <f>IF(Y12&lt;&gt;"","   Student Evaluation Tools: 
(cognitive, psychomotor, &amp; affective domains)","")</f>
        <v/>
      </c>
      <c r="Y42" s="162"/>
      <c r="Z42" s="162"/>
      <c r="AA42" s="162"/>
      <c r="AB42" s="162"/>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c r="CL42" s="19"/>
      <c r="CM42" s="19"/>
      <c r="CN42" s="19"/>
      <c r="CO42" s="19"/>
      <c r="CP42" s="19"/>
      <c r="CQ42" s="19"/>
      <c r="CR42" s="19"/>
    </row>
    <row r="43" spans="2:96" ht="51.75" customHeight="1" x14ac:dyDescent="0.15">
      <c r="B43" s="878" t="str">
        <f>IF(OR(F$42="Not Met",I$42="Not Met",J$42="Not Met",L$42="Not Met",O$42="Not Met"),"Rationale for 'Not Met' OR Clarification 
Needed for Student Evaluation Tools:","")</f>
        <v/>
      </c>
      <c r="C43" s="878"/>
      <c r="D43" s="878"/>
      <c r="E43" s="878"/>
      <c r="F43" s="877"/>
      <c r="G43" s="877"/>
      <c r="H43" s="877"/>
      <c r="I43" s="164"/>
      <c r="J43" s="875"/>
      <c r="K43" s="875"/>
      <c r="L43" s="875"/>
      <c r="M43" s="875"/>
      <c r="N43" s="250" t="str">
        <f>IF(OR(O42="Not Met",P42="Not Met",Q42="Not Met",R42="Not Met"),"Rationale for 'Not Met' OR Clarification 
Needed for Student Evaluation Tools:","")</f>
        <v/>
      </c>
      <c r="O43" s="163"/>
      <c r="P43" s="163"/>
      <c r="Q43" s="163"/>
      <c r="R43" s="163"/>
      <c r="S43" s="250" t="str">
        <f>IF(OR(T42="Not Met",U42="Not Met",V42="Not Met",W42="Not Met"),"Rationale for 'Not Met' OR Clarification 
Needed for Student Evaluation Tools:","")</f>
        <v/>
      </c>
      <c r="T43" s="163"/>
      <c r="U43" s="163"/>
      <c r="V43" s="163"/>
      <c r="W43" s="163"/>
      <c r="X43" s="250" t="str">
        <f>IF(OR(Y42="Not Met",Z42="Not Met",AA42="Not Met",AB42="Not Met"),"Rationale for 'Not Met' OR Clarification 
Needed for Student Evaluation Tools:","")</f>
        <v/>
      </c>
      <c r="Y43" s="163"/>
      <c r="Z43" s="163"/>
      <c r="AA43" s="163"/>
      <c r="AB43" s="163"/>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row>
    <row r="44" spans="2:96" ht="55.5" customHeight="1" x14ac:dyDescent="0.15">
      <c r="B44" s="878" t="str">
        <f>IF(F12&lt;&gt;"","      Competencies &amp; 
Required Minimum Numbers: 
     (Student Minimum Competency [SMC])","")</f>
        <v/>
      </c>
      <c r="C44" s="878"/>
      <c r="D44" s="878"/>
      <c r="E44" s="878"/>
      <c r="F44" s="876"/>
      <c r="G44" s="876"/>
      <c r="H44" s="876"/>
      <c r="I44" s="162"/>
      <c r="J44" s="876"/>
      <c r="K44" s="876"/>
      <c r="L44" s="876"/>
      <c r="M44" s="876"/>
      <c r="N44" s="250" t="str">
        <f>IF(O12&lt;&gt;"","      Competencies &amp; 
Required Minimum Numbers: 
     (Student Minimum Competency [SMC])","")</f>
        <v/>
      </c>
      <c r="O44" s="162"/>
      <c r="P44" s="162"/>
      <c r="Q44" s="162"/>
      <c r="R44" s="162"/>
      <c r="S44" s="250" t="str">
        <f>IF(T12&lt;&gt;"","      Competencies &amp; 
Required Minimum Numbers: 
     (Student Minimum Competency [SMC])","")</f>
        <v/>
      </c>
      <c r="T44" s="162"/>
      <c r="U44" s="162"/>
      <c r="V44" s="162"/>
      <c r="W44" s="162"/>
      <c r="X44" s="250" t="str">
        <f>IF(Y12&lt;&gt;"","      Competencies &amp; 
Required Minimum Numbers: 
     (Student Minimum Competency [SMC])","")</f>
        <v/>
      </c>
      <c r="Y44" s="162"/>
      <c r="Z44" s="162"/>
      <c r="AA44" s="162"/>
      <c r="AB44" s="162"/>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row>
    <row r="45" spans="2:96" ht="51.75" customHeight="1" x14ac:dyDescent="0.15">
      <c r="B45" s="878" t="str">
        <f>IF(OR(F$44="Not Met",I$44="Not Met",J$44="Not Met",L$44="Not Met",O$44="Not Met"),"Rationale for 'Not Met' OR Clarification 
Needed for Required Minimum Numbers (SMC):","")</f>
        <v/>
      </c>
      <c r="C45" s="878"/>
      <c r="D45" s="878"/>
      <c r="E45" s="878"/>
      <c r="F45" s="877"/>
      <c r="G45" s="877"/>
      <c r="H45" s="877"/>
      <c r="I45" s="164"/>
      <c r="J45" s="875"/>
      <c r="K45" s="875"/>
      <c r="L45" s="875"/>
      <c r="M45" s="875"/>
      <c r="N45" s="250" t="str">
        <f>IF(OR(O44="Not Met",P44="Not Met",Q44="Not Met",R44="Not Met"),"Rationale for 'Not Met' OR Clarification 
Needed for Required Minimum Numbers (SMC):","")</f>
        <v/>
      </c>
      <c r="O45" s="163"/>
      <c r="P45" s="163"/>
      <c r="Q45" s="163"/>
      <c r="R45" s="163"/>
      <c r="S45" s="250" t="str">
        <f>IF(OR(T44="Not Met",U44="Not Met",V44="Not Met",W44="Not Met"),"Rationale for 'Not Met' OR Clarification 
Needed for Required Minimum Numbers (SMC):","")</f>
        <v/>
      </c>
      <c r="T45" s="163"/>
      <c r="U45" s="163"/>
      <c r="V45" s="163"/>
      <c r="W45" s="163"/>
      <c r="X45" s="250" t="str">
        <f>IF(OR(Y44="Not Met",Z44="Not Met",AA44="Not Met",AB44="Not Met"),"Rationale for 'Not Met' OR Clarification 
Needed for Required Minimum Numbers (SMC):","")</f>
        <v/>
      </c>
      <c r="Y45" s="163"/>
      <c r="Z45" s="163"/>
      <c r="AA45" s="163"/>
      <c r="AB45" s="163"/>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row>
    <row r="46" spans="2:96" ht="42" customHeight="1" x14ac:dyDescent="0.15">
      <c r="B46" s="878" t="str">
        <f>IF(F12&lt;&gt;"","Clinical &amp; Capstone Field Internship Sites:
(similar in opportunity &amp; patient volume)","")</f>
        <v/>
      </c>
      <c r="C46" s="878"/>
      <c r="D46" s="878"/>
      <c r="E46" s="878"/>
      <c r="F46" s="876"/>
      <c r="G46" s="876"/>
      <c r="H46" s="876"/>
      <c r="I46" s="162"/>
      <c r="J46" s="876"/>
      <c r="K46" s="876"/>
      <c r="L46" s="876"/>
      <c r="M46" s="876"/>
      <c r="N46" s="250" t="str">
        <f>IF(O12&lt;&gt;"","Clinical &amp; Capstone Field Internship Sites:
(similar in opportunity &amp; patient volume)","")</f>
        <v/>
      </c>
      <c r="O46" s="162"/>
      <c r="P46" s="162"/>
      <c r="Q46" s="162"/>
      <c r="R46" s="162"/>
      <c r="S46" s="250" t="str">
        <f>IF(T12&lt;&gt;"","Clinical &amp; Capstone Field Internship Sites:
(similar in opportunity &amp; patient volume)","")</f>
        <v/>
      </c>
      <c r="T46" s="162"/>
      <c r="U46" s="162"/>
      <c r="V46" s="162"/>
      <c r="W46" s="162"/>
      <c r="X46" s="250" t="str">
        <f>IF(Y12&lt;&gt;"","Clinical &amp; Capstone Field Internship Sites:
(similar in opportunity &amp; patient volume)","")</f>
        <v/>
      </c>
      <c r="Y46" s="162"/>
      <c r="Z46" s="162"/>
      <c r="AA46" s="162"/>
      <c r="AB46" s="162"/>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row>
    <row r="47" spans="2:96" ht="48.75" customHeight="1" x14ac:dyDescent="0.15">
      <c r="B47" s="878" t="str">
        <f>IF(OR(F$46="Not Met",I$46="Not Met",J$46="Not Met",L$46="Not Met",O$46="Not Met"),"Rationale for 'Not Met' OR 
Clarification Needed for Affiliate Sites:","")</f>
        <v/>
      </c>
      <c r="C47" s="878"/>
      <c r="D47" s="878"/>
      <c r="E47" s="878"/>
      <c r="F47" s="877"/>
      <c r="G47" s="877"/>
      <c r="H47" s="877"/>
      <c r="I47" s="164"/>
      <c r="J47" s="875"/>
      <c r="K47" s="875"/>
      <c r="L47" s="875"/>
      <c r="M47" s="875"/>
      <c r="N47" s="250" t="str">
        <f>IF(OR(O46="Not Met",P46="Not Met",Q46="Not Met",R46="Not Met"),"Rationale for 'Not Met' OR 
Clarification Needed for Affiliate Sites:","")</f>
        <v/>
      </c>
      <c r="O47" s="163"/>
      <c r="P47" s="163"/>
      <c r="Q47" s="163"/>
      <c r="R47" s="163"/>
      <c r="S47" s="250" t="str">
        <f>IF(OR(T46="Not Met",U46="Not Met",V46="Not Met",W46="Not Met"),"Rationale for 'Not Met' OR 
Clarification Needed for Affiliate Sites:","")</f>
        <v/>
      </c>
      <c r="T47" s="163"/>
      <c r="U47" s="163"/>
      <c r="V47" s="163"/>
      <c r="W47" s="163"/>
      <c r="X47" s="250" t="str">
        <f>IF(OR(Y46="Not Met",Z46="Not Met",AA46="Not Met",AB46="Not Met"),"Rationale for 'Not Met' OR 
Clarification Needed for Affiliate Sites:","")</f>
        <v/>
      </c>
      <c r="Y47" s="163"/>
      <c r="Z47" s="163"/>
      <c r="AA47" s="163"/>
      <c r="AB47" s="163"/>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row>
    <row r="48" spans="2:96" ht="42" customHeight="1" x14ac:dyDescent="0.15">
      <c r="B48" s="878" t="str">
        <f>IF(F12&lt;&gt;"","On-Site Liaison Orientation/
Capstone Field Internship Training:","")</f>
        <v/>
      </c>
      <c r="C48" s="878"/>
      <c r="D48" s="878"/>
      <c r="E48" s="878"/>
      <c r="F48" s="876"/>
      <c r="G48" s="876"/>
      <c r="H48" s="876"/>
      <c r="I48" s="162"/>
      <c r="J48" s="876"/>
      <c r="K48" s="876"/>
      <c r="L48" s="876"/>
      <c r="M48" s="876"/>
      <c r="N48" s="250" t="str">
        <f>IF(O12&lt;&gt;"","On-Site Liaison Orientation/
Capstone Field Internship Training:","")</f>
        <v/>
      </c>
      <c r="O48" s="162"/>
      <c r="P48" s="162"/>
      <c r="Q48" s="162"/>
      <c r="R48" s="162"/>
      <c r="S48" s="250" t="str">
        <f>IF(T12&lt;&gt;"","On-Site Liaison Orientation/
Capstone Field Internship Training:","")</f>
        <v/>
      </c>
      <c r="T48" s="162"/>
      <c r="U48" s="162"/>
      <c r="V48" s="162"/>
      <c r="W48" s="162"/>
      <c r="X48" s="250" t="str">
        <f>IF(Y12&lt;&gt;"","On-Site Liaison Orientation/
Capstone Field Internship Training:","")</f>
        <v/>
      </c>
      <c r="Y48" s="162"/>
      <c r="Z48" s="162"/>
      <c r="AA48" s="162"/>
      <c r="AB48" s="162"/>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row>
    <row r="49" spans="2:96" ht="48" customHeight="1" x14ac:dyDescent="0.15">
      <c r="B49" s="878" t="str">
        <f>IF(OR(F$48="Not Met",I$48="Not Met",J$48="Not Met",L$48="Not Met",O$48="Not Met"),"Rationale for 'Not Met' OR Clarification 
Needed for On-Site Liaison Orientation/
Capstone Field Internship Training:","")</f>
        <v/>
      </c>
      <c r="C49" s="878"/>
      <c r="D49" s="878"/>
      <c r="E49" s="878"/>
      <c r="F49" s="877"/>
      <c r="G49" s="877"/>
      <c r="H49" s="877"/>
      <c r="I49" s="164"/>
      <c r="J49" s="875"/>
      <c r="K49" s="875"/>
      <c r="L49" s="875"/>
      <c r="M49" s="875"/>
      <c r="N49" s="250" t="str">
        <f>IF(OR(O48="Not Met",P48="Not Met",Q48="Not Met",R48="Not Met"),"Rationale for 'Not Met' OR Clarification 
Needed for On-Site Liaison Orientation/
Capstone Field Internship Training:","")</f>
        <v/>
      </c>
      <c r="O49" s="163"/>
      <c r="P49" s="163"/>
      <c r="Q49" s="163"/>
      <c r="R49" s="163"/>
      <c r="S49" s="250" t="str">
        <f>IF(OR(T48="Not Met",U48="Not Met",V48="Not Met",W48="Not Met"),"Rationale for 'Not Met' OR Clarification 
Needed for On-Site Liaison Orientation/
Capstone Field Internship Training:","")</f>
        <v/>
      </c>
      <c r="T49" s="163"/>
      <c r="U49" s="163"/>
      <c r="V49" s="163"/>
      <c r="W49" s="163"/>
      <c r="X49" s="250" t="str">
        <f>IF(OR(Y48="Not Met",Z48="Not Met",AA48="Not Met",AB48="Not Met"),"Rationale for 'Not Met' OR Clarification 
Needed for On-Site Liaison Orientation/
Capstone Field Internship Training:","")</f>
        <v/>
      </c>
      <c r="Y49" s="163"/>
      <c r="Z49" s="163"/>
      <c r="AA49" s="163"/>
      <c r="AB49" s="163"/>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row>
    <row r="50" spans="2:96" x14ac:dyDescent="0.15">
      <c r="M50" s="19"/>
      <c r="N50" s="19"/>
      <c r="O50" s="19"/>
      <c r="P50" s="19"/>
      <c r="Q50" s="19"/>
      <c r="R50" s="19"/>
      <c r="S50" s="19"/>
      <c r="T50" s="65"/>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row>
    <row r="51" spans="2:96" x14ac:dyDescent="0.15">
      <c r="M51" s="19"/>
      <c r="N51" s="19"/>
      <c r="O51" s="19"/>
      <c r="P51" s="19"/>
      <c r="Q51" s="19"/>
      <c r="R51" s="19"/>
      <c r="S51" s="19"/>
      <c r="T51" s="65"/>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row>
    <row r="52" spans="2:96" ht="40.5" customHeight="1" x14ac:dyDescent="0.15">
      <c r="E52" s="661" t="str">
        <f>IF(AND(H6&lt;&gt;"N/A",H7="N/A",H8=""), "This completes the Satellite Addendum","")</f>
        <v/>
      </c>
      <c r="F52" s="661"/>
      <c r="G52" s="661"/>
      <c r="H52" s="661"/>
      <c r="I52" s="661"/>
      <c r="O52" s="661" t="str">
        <f>IF(AND(H6&lt;&gt;"N/A",H6&gt;=5,H7="N/A",H8=""), "This completes the Satellite Addendum","")</f>
        <v/>
      </c>
      <c r="P52" s="661"/>
      <c r="Q52" s="661"/>
      <c r="R52" s="19"/>
      <c r="S52" s="19"/>
      <c r="T52" s="661" t="str">
        <f>IF(AND(H6&lt;&gt;"N/A",H6&gt;=9,H7="N/A",H8=""), "This completes the Satellite Addendum","")</f>
        <v/>
      </c>
      <c r="U52" s="661"/>
      <c r="V52" s="661"/>
      <c r="W52" s="19"/>
      <c r="X52" s="19"/>
      <c r="Y52" s="661" t="str">
        <f>IF(AND(H6&lt;&gt;"N/A",H6&gt;=13,H7="N/A",H8=""), "This completes the Satellite Addendum","")</f>
        <v/>
      </c>
      <c r="Z52" s="661"/>
      <c r="AA52" s="661"/>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row>
    <row r="55" spans="2:96" ht="25.5" customHeight="1" x14ac:dyDescent="0.15">
      <c r="B55" s="146"/>
      <c r="C55" s="878"/>
      <c r="D55" s="878"/>
      <c r="E55" s="878"/>
      <c r="F55" s="882" t="str">
        <f>IF(H7&lt;&gt;"N/A","Out-of-State Satellite(s)","")</f>
        <v/>
      </c>
      <c r="G55" s="882"/>
      <c r="H55" s="882"/>
      <c r="I55" s="882"/>
      <c r="J55" s="882"/>
      <c r="K55" s="882"/>
      <c r="L55" s="882"/>
      <c r="M55" s="882"/>
    </row>
    <row r="56" spans="2:96" ht="36.75" customHeight="1" x14ac:dyDescent="0.15">
      <c r="B56" s="146"/>
      <c r="C56" s="682"/>
      <c r="D56" s="682"/>
      <c r="E56" s="682"/>
      <c r="F56" s="882" t="str">
        <f>IF(AND($H7&lt;&gt;"N/A",$H7&gt;=1),"Satellite Location #1","")</f>
        <v/>
      </c>
      <c r="G56" s="882"/>
      <c r="H56" s="882"/>
      <c r="I56" s="159" t="str">
        <f>IF(AND($H7&lt;&gt;"N/A",$H7&gt;=2),"Satellite Location #2","")</f>
        <v/>
      </c>
      <c r="J56" s="882" t="str">
        <f>IF(AND($H7&lt;&gt;"N/A",$H7&gt;=3),"Satellite Location #3","")</f>
        <v/>
      </c>
      <c r="K56" s="882"/>
      <c r="L56" s="882" t="str">
        <f>IF(AND($H7&lt;&gt;"N/A",$H7&gt;=4),"Satellite Location #4","")</f>
        <v/>
      </c>
      <c r="M56" s="882"/>
    </row>
    <row r="57" spans="2:96" ht="39.75" customHeight="1" x14ac:dyDescent="0.15">
      <c r="B57" s="878" t="str">
        <f>IF(F56&lt;&gt;"","Satellite Name, City, State:","")</f>
        <v/>
      </c>
      <c r="C57" s="878"/>
      <c r="D57" s="878"/>
      <c r="E57" s="878"/>
      <c r="F57" s="885"/>
      <c r="G57" s="876"/>
      <c r="H57" s="876"/>
      <c r="I57" s="160"/>
      <c r="J57" s="885"/>
      <c r="K57" s="885"/>
      <c r="L57" s="885"/>
      <c r="M57" s="885"/>
    </row>
    <row r="58" spans="2:96" ht="39.75" customHeight="1" x14ac:dyDescent="0.15">
      <c r="B58" s="878" t="str">
        <f>IF(F56&lt;&gt;"","Distance from main campus:
(in miles)","")</f>
        <v/>
      </c>
      <c r="C58" s="878"/>
      <c r="D58" s="878"/>
      <c r="E58" s="878"/>
      <c r="F58" s="890"/>
      <c r="G58" s="890"/>
      <c r="H58" s="890"/>
      <c r="I58" s="161"/>
      <c r="J58" s="884"/>
      <c r="K58" s="884"/>
      <c r="L58" s="884"/>
      <c r="M58" s="884"/>
    </row>
    <row r="59" spans="2:96" ht="39.75" customHeight="1" x14ac:dyDescent="0.15">
      <c r="B59" s="878" t="str">
        <f>IF(F56&lt;&gt;"","Maximum number of students:
(per cohort)","")</f>
        <v/>
      </c>
      <c r="C59" s="878"/>
      <c r="D59" s="878"/>
      <c r="E59" s="878"/>
      <c r="F59" s="890"/>
      <c r="G59" s="890"/>
      <c r="H59" s="890"/>
      <c r="I59" s="161"/>
      <c r="J59" s="884"/>
      <c r="K59" s="884"/>
      <c r="L59" s="884"/>
      <c r="M59" s="884"/>
    </row>
    <row r="60" spans="2:96" ht="39.75" customHeight="1" x14ac:dyDescent="0.15">
      <c r="B60" s="878" t="str">
        <f>IF(F56&lt;&gt;"","Approved satellite Lead Instructor:","")</f>
        <v/>
      </c>
      <c r="C60" s="878"/>
      <c r="D60" s="878"/>
      <c r="E60" s="878"/>
      <c r="F60" s="876"/>
      <c r="G60" s="876"/>
      <c r="H60" s="876"/>
      <c r="I60" s="160"/>
      <c r="J60" s="885"/>
      <c r="K60" s="885"/>
      <c r="L60" s="885"/>
      <c r="M60" s="885"/>
    </row>
    <row r="61" spans="2:96" ht="39.75" customHeight="1" x14ac:dyDescent="0.15">
      <c r="B61" s="878" t="str">
        <f>IF(F56&lt;&gt;"","Approved satellite Medical Director:","")</f>
        <v/>
      </c>
      <c r="C61" s="878"/>
      <c r="D61" s="878"/>
      <c r="E61" s="878"/>
      <c r="F61" s="876"/>
      <c r="G61" s="876"/>
      <c r="H61" s="876"/>
      <c r="I61" s="160"/>
      <c r="J61" s="885"/>
      <c r="K61" s="885"/>
      <c r="L61" s="885"/>
      <c r="M61" s="885"/>
    </row>
    <row r="62" spans="2:96" ht="64.5" customHeight="1" x14ac:dyDescent="0.15">
      <c r="B62" s="878"/>
      <c r="C62" s="878"/>
      <c r="D62" s="878"/>
      <c r="E62" s="878"/>
      <c r="F62" s="886" t="str">
        <f>IF(F56&lt;&gt;"","Site Visitors, please provide the information below specifically for this satellite location:","")</f>
        <v/>
      </c>
      <c r="G62" s="886"/>
      <c r="H62" s="886"/>
      <c r="I62" s="166" t="str">
        <f>IF(I56&lt;&gt;"","Site Visitors, please provide the information below specifically for this satellite location:","")</f>
        <v/>
      </c>
      <c r="J62" s="886" t="str">
        <f>IF(J56&lt;&gt;"","Site Visitors, please provide the information below specifically for this satellite location:","")</f>
        <v/>
      </c>
      <c r="K62" s="886"/>
      <c r="L62" s="886" t="str">
        <f>IF(L56&lt;&gt;"","Site Visitors, please provide the information below specifically for this satellite location:","")</f>
        <v/>
      </c>
      <c r="M62" s="886"/>
    </row>
    <row r="63" spans="2:96" ht="36" customHeight="1" x14ac:dyDescent="0.15">
      <c r="B63" s="878" t="str">
        <f>IF(F56&lt;&gt;"","Did the site visit team visit (phisically or virtually) the satellite location(s)?","")</f>
        <v/>
      </c>
      <c r="C63" s="878"/>
      <c r="D63" s="878"/>
      <c r="E63" s="878"/>
      <c r="F63" s="876"/>
      <c r="G63" s="876"/>
      <c r="H63" s="876"/>
      <c r="I63" s="162"/>
      <c r="J63" s="876"/>
      <c r="K63" s="876"/>
      <c r="L63" s="876"/>
      <c r="M63" s="876"/>
    </row>
    <row r="64" spans="2:96" ht="36" customHeight="1" x14ac:dyDescent="0.15">
      <c r="B64" s="878" t="str">
        <f>IF(F56&lt;&gt;"","Does the program utilize specific clinical or field affiliations for this location?","")</f>
        <v/>
      </c>
      <c r="C64" s="878"/>
      <c r="D64" s="878"/>
      <c r="E64" s="878"/>
      <c r="F64" s="876"/>
      <c r="G64" s="876"/>
      <c r="H64" s="876"/>
      <c r="I64" s="162"/>
      <c r="J64" s="876"/>
      <c r="K64" s="876"/>
      <c r="L64" s="876"/>
      <c r="M64" s="876"/>
    </row>
    <row r="65" spans="2:13" ht="36" customHeight="1" x14ac:dyDescent="0.15">
      <c r="B65" s="878" t="str">
        <f>IF(F56&lt;&gt;"","PD responsible for management:","")</f>
        <v/>
      </c>
      <c r="C65" s="878"/>
      <c r="D65" s="878"/>
      <c r="E65" s="878"/>
      <c r="F65" s="876"/>
      <c r="G65" s="876"/>
      <c r="H65" s="876"/>
      <c r="I65" s="162"/>
      <c r="J65" s="876"/>
      <c r="K65" s="876"/>
      <c r="L65" s="876"/>
      <c r="M65" s="876"/>
    </row>
    <row r="66" spans="2:13" ht="52.5" customHeight="1" x14ac:dyDescent="0.15">
      <c r="B66" s="878" t="str">
        <f>IF(F56&lt;&gt;"","Satellite(s) Resources Assessment Matrix (RAM) completed 
(separate from main campus)?","")</f>
        <v/>
      </c>
      <c r="C66" s="878"/>
      <c r="D66" s="878"/>
      <c r="E66" s="878"/>
      <c r="F66" s="876"/>
      <c r="G66" s="876"/>
      <c r="H66" s="876"/>
      <c r="I66" s="162"/>
      <c r="J66" s="876"/>
      <c r="K66" s="876"/>
      <c r="L66" s="876"/>
      <c r="M66" s="876"/>
    </row>
    <row r="67" spans="2:13" ht="36" customHeight="1" x14ac:dyDescent="0.15">
      <c r="B67" s="878" t="str">
        <f>IF(F56&lt;&gt;"","Were the equipment &amp; supplies sufficient?","")</f>
        <v/>
      </c>
      <c r="C67" s="878"/>
      <c r="D67" s="878"/>
      <c r="E67" s="878"/>
      <c r="F67" s="876"/>
      <c r="G67" s="876"/>
      <c r="H67" s="876"/>
      <c r="I67" s="162"/>
      <c r="J67" s="876"/>
      <c r="K67" s="876"/>
      <c r="L67" s="876"/>
      <c r="M67" s="876"/>
    </row>
    <row r="68" spans="2:13" ht="36" customHeight="1" x14ac:dyDescent="0.15">
      <c r="B68" s="878" t="str">
        <f>IF(F56&lt;&gt;"","Were the facilities sufficient?","")</f>
        <v/>
      </c>
      <c r="C68" s="878"/>
      <c r="D68" s="878"/>
      <c r="E68" s="878"/>
      <c r="F68" s="876"/>
      <c r="G68" s="876"/>
      <c r="H68" s="876"/>
      <c r="I68" s="162"/>
      <c r="J68" s="876"/>
      <c r="K68" s="876"/>
      <c r="L68" s="876"/>
      <c r="M68" s="876"/>
    </row>
    <row r="69" spans="2:13" ht="62.25" customHeight="1" x14ac:dyDescent="0.15">
      <c r="B69" s="878" t="str">
        <f>IF(OR(F$68="Not Met",I$68="Not Met",J$68="Not Met",L$68="Not Met",O$68="Not Met"),"Rationale for 'Not Met' OR 
Clarification Needed for Facilities:","")</f>
        <v/>
      </c>
      <c r="C69" s="878"/>
      <c r="D69" s="878"/>
      <c r="E69" s="878"/>
      <c r="F69" s="877"/>
      <c r="G69" s="877"/>
      <c r="H69" s="877"/>
      <c r="I69" s="163"/>
      <c r="J69" s="877"/>
      <c r="K69" s="877"/>
      <c r="L69" s="877"/>
      <c r="M69" s="877"/>
    </row>
    <row r="70" spans="2:13" ht="68.25" customHeight="1" x14ac:dyDescent="0.15">
      <c r="B70" s="878" t="str">
        <f>IF(F56&lt;&gt;"","Program materials apply to the satellite course:
(program catalog, student handbook, policy manual, &amp; clinical/field internship materials)","")</f>
        <v/>
      </c>
      <c r="C70" s="878"/>
      <c r="D70" s="878"/>
      <c r="E70" s="878"/>
      <c r="F70" s="876"/>
      <c r="G70" s="876"/>
      <c r="H70" s="876"/>
      <c r="I70" s="162"/>
      <c r="J70" s="876"/>
      <c r="K70" s="876"/>
      <c r="L70" s="876"/>
      <c r="M70" s="876"/>
    </row>
    <row r="71" spans="2:13" ht="62.25" customHeight="1" x14ac:dyDescent="0.15">
      <c r="B71" s="878" t="str">
        <f>IF(OR(F$70="Not Met",I$70="Not Met",J$70="Not Met",L$70="Not Met",O$70="Not Met"),"Rationale for 'Not Met' OR Clarification 
Needed for Satellite Program Materials:","")</f>
        <v/>
      </c>
      <c r="C71" s="878"/>
      <c r="D71" s="878"/>
      <c r="E71" s="878"/>
      <c r="F71" s="877"/>
      <c r="G71" s="877"/>
      <c r="H71" s="877"/>
      <c r="I71" s="164"/>
      <c r="J71" s="875"/>
      <c r="K71" s="875"/>
      <c r="L71" s="875"/>
      <c r="M71" s="875"/>
    </row>
    <row r="72" spans="2:13" ht="42" customHeight="1" x14ac:dyDescent="0.15">
      <c r="B72" s="878" t="str">
        <f>IF(F56&lt;&gt;"","Were students interviewed?","")</f>
        <v/>
      </c>
      <c r="C72" s="878"/>
      <c r="D72" s="878"/>
      <c r="E72" s="878"/>
      <c r="F72" s="876"/>
      <c r="G72" s="876"/>
      <c r="H72" s="876"/>
      <c r="I72" s="162"/>
      <c r="J72" s="876"/>
      <c r="K72" s="876"/>
      <c r="L72" s="876"/>
      <c r="M72" s="876"/>
    </row>
    <row r="73" spans="2:13" ht="42" customHeight="1" x14ac:dyDescent="0.15">
      <c r="B73" s="878" t="str">
        <f>IF(F56&lt;&gt;"","Were graduates interviewed?","")</f>
        <v/>
      </c>
      <c r="C73" s="878"/>
      <c r="D73" s="878"/>
      <c r="E73" s="878"/>
      <c r="F73" s="876"/>
      <c r="G73" s="876"/>
      <c r="H73" s="876"/>
      <c r="I73" s="162"/>
      <c r="J73" s="876"/>
      <c r="K73" s="876"/>
      <c r="L73" s="876"/>
      <c r="M73" s="876"/>
    </row>
    <row r="74" spans="2:13" ht="57" customHeight="1" x14ac:dyDescent="0.15">
      <c r="B74" s="878" t="str">
        <f>IF(F56&lt;&gt;"","Is distant technology is used to deliver content?","")</f>
        <v/>
      </c>
      <c r="C74" s="878"/>
      <c r="D74" s="878"/>
      <c r="E74" s="878"/>
      <c r="F74" s="876"/>
      <c r="G74" s="876"/>
      <c r="H74" s="876"/>
      <c r="I74" s="162"/>
      <c r="J74" s="876"/>
      <c r="K74" s="876"/>
      <c r="L74" s="876"/>
      <c r="M74" s="876"/>
    </row>
    <row r="75" spans="2:13" ht="42" customHeight="1" x14ac:dyDescent="0.15">
      <c r="B75" s="878" t="str">
        <f>IF(F56&lt;&gt;"","Student records are permanently maintained at the main campus location:","")</f>
        <v/>
      </c>
      <c r="C75" s="878"/>
      <c r="D75" s="878"/>
      <c r="E75" s="878"/>
      <c r="F75" s="876"/>
      <c r="G75" s="876"/>
      <c r="H75" s="876"/>
      <c r="I75" s="162"/>
      <c r="J75" s="876"/>
      <c r="K75" s="876"/>
      <c r="L75" s="876"/>
      <c r="M75" s="876"/>
    </row>
    <row r="76" spans="2:13" ht="98.25" customHeight="1" x14ac:dyDescent="0.15">
      <c r="B76" s="878" t="str">
        <f>IF(OR(F75="Not Met",I75="Not Met",J75="Not Met",L75="Not Met",O75="Not Met"),"Where is the permanent location?","")</f>
        <v/>
      </c>
      <c r="C76" s="878"/>
      <c r="D76" s="878"/>
      <c r="E76" s="878"/>
      <c r="F76" s="877"/>
      <c r="G76" s="877"/>
      <c r="H76" s="877"/>
      <c r="I76" s="164"/>
      <c r="J76" s="875"/>
      <c r="K76" s="875"/>
      <c r="L76" s="875"/>
      <c r="M76" s="875"/>
    </row>
    <row r="77" spans="2:13" ht="38" customHeight="1" x14ac:dyDescent="0.15">
      <c r="B77" s="881" t="str">
        <f>IF(F56&lt;&gt;"","There is evidence the following items are consistent with the main campus:","")</f>
        <v/>
      </c>
      <c r="C77" s="881"/>
      <c r="D77" s="881"/>
      <c r="E77" s="881"/>
      <c r="F77" s="888"/>
      <c r="G77" s="888"/>
      <c r="H77" s="888"/>
      <c r="I77" s="165"/>
      <c r="J77" s="682"/>
      <c r="K77" s="682"/>
      <c r="L77" s="682"/>
      <c r="M77" s="682"/>
    </row>
    <row r="78" spans="2:13" ht="42" customHeight="1" x14ac:dyDescent="0.15">
      <c r="B78" s="878" t="str">
        <f>IF(F56&lt;&gt;"","Curricula:","")</f>
        <v/>
      </c>
      <c r="C78" s="878"/>
      <c r="D78" s="878"/>
      <c r="E78" s="878"/>
      <c r="F78" s="876"/>
      <c r="G78" s="876"/>
      <c r="H78" s="876"/>
      <c r="I78" s="162"/>
      <c r="J78" s="876"/>
      <c r="K78" s="876"/>
      <c r="L78" s="876"/>
      <c r="M78" s="876"/>
    </row>
    <row r="79" spans="2:13" ht="45" customHeight="1" x14ac:dyDescent="0.15">
      <c r="B79" s="878" t="str">
        <f>IF(OR(F78="Not Met",I78="Not Met",J78="Not Met",L78="Not Met",O78="Not Met"),"Rationale for 'Not Met' OR 
Clarification Needed for Curricula:","")</f>
        <v/>
      </c>
      <c r="C79" s="878"/>
      <c r="D79" s="878"/>
      <c r="E79" s="878"/>
      <c r="F79" s="877"/>
      <c r="G79" s="877"/>
      <c r="H79" s="877"/>
      <c r="I79" s="164"/>
      <c r="J79" s="875"/>
      <c r="K79" s="875"/>
      <c r="L79" s="875"/>
      <c r="M79" s="875"/>
    </row>
    <row r="80" spans="2:13" ht="42" customHeight="1" x14ac:dyDescent="0.15">
      <c r="B80" s="878" t="str">
        <f>IF(F56&lt;&gt;"","Course Syllabi:","")</f>
        <v/>
      </c>
      <c r="C80" s="878"/>
      <c r="D80" s="878"/>
      <c r="E80" s="878"/>
      <c r="F80" s="876"/>
      <c r="G80" s="876"/>
      <c r="H80" s="876"/>
      <c r="I80" s="162"/>
      <c r="J80" s="876"/>
      <c r="K80" s="876"/>
      <c r="L80" s="876"/>
      <c r="M80" s="876"/>
    </row>
    <row r="81" spans="2:96" ht="45.75" customHeight="1" x14ac:dyDescent="0.15">
      <c r="B81" s="878" t="str">
        <f>IF(OR(F80="Not Met",I80="Not Met",J80="Not Met",L80="Not Met",O80="Not Met"),"Rationale for 'Not Met' OR 
Clarification Needed for Course Syllabi:","")</f>
        <v/>
      </c>
      <c r="C81" s="878"/>
      <c r="D81" s="878"/>
      <c r="E81" s="878"/>
      <c r="F81" s="877"/>
      <c r="G81" s="877"/>
      <c r="H81" s="877"/>
      <c r="I81" s="164"/>
      <c r="J81" s="875"/>
      <c r="K81" s="875"/>
      <c r="L81" s="875"/>
      <c r="M81" s="875"/>
    </row>
    <row r="82" spans="2:96" ht="57" customHeight="1" x14ac:dyDescent="0.15">
      <c r="B82" s="878" t="str">
        <f>IF(F56&lt;&gt;"","Faculty Monitoring &amp; Oversight of Sites:
(clinical, field exp. &amp; capstone field internship)","")</f>
        <v/>
      </c>
      <c r="C82" s="878"/>
      <c r="D82" s="878"/>
      <c r="E82" s="878"/>
      <c r="F82" s="876"/>
      <c r="G82" s="876"/>
      <c r="H82" s="876"/>
      <c r="I82" s="162"/>
      <c r="J82" s="876"/>
      <c r="K82" s="876"/>
      <c r="L82" s="876"/>
      <c r="M82" s="876"/>
    </row>
    <row r="83" spans="2:96" ht="49.5" customHeight="1" x14ac:dyDescent="0.15">
      <c r="B83" s="878" t="str">
        <f>IF(OR(F82="Not Met",I82="Not Met",J82="Not Met",L82="Not Met",O82="Not Met"),"Rationale for 'Not Met' OR Clarification 
Needed for Monitoring &amp; Oversight of Sites:","")</f>
        <v/>
      </c>
      <c r="C83" s="878"/>
      <c r="D83" s="878"/>
      <c r="E83" s="878"/>
      <c r="F83" s="877"/>
      <c r="G83" s="877"/>
      <c r="H83" s="877"/>
      <c r="I83" s="164"/>
      <c r="J83" s="875"/>
      <c r="K83" s="875"/>
      <c r="L83" s="875"/>
      <c r="M83" s="875"/>
    </row>
    <row r="84" spans="2:96" ht="42" customHeight="1" x14ac:dyDescent="0.15">
      <c r="B84" s="878" t="str">
        <f>IF(F56&lt;&gt;"","Scheduled Course Hours &amp; Sequencing:","")</f>
        <v/>
      </c>
      <c r="C84" s="878"/>
      <c r="D84" s="878"/>
      <c r="E84" s="878"/>
      <c r="F84" s="876"/>
      <c r="G84" s="876"/>
      <c r="H84" s="876"/>
      <c r="I84" s="162"/>
      <c r="J84" s="876"/>
      <c r="K84" s="876"/>
      <c r="L84" s="876"/>
      <c r="M84" s="876"/>
    </row>
    <row r="85" spans="2:96" ht="52.5" customHeight="1" x14ac:dyDescent="0.15">
      <c r="B85" s="878" t="str">
        <f>IF(OR(F84="Not Met",I84="Not Met",J84="Not Met",L84="Not Met",O84="Not Met"),"Rationale for 'Not Met' OR Clarification 
Needed for Course Hours &amp; Sequencing:","")</f>
        <v/>
      </c>
      <c r="C85" s="878"/>
      <c r="D85" s="878"/>
      <c r="E85" s="878"/>
      <c r="F85" s="877"/>
      <c r="G85" s="877"/>
      <c r="H85" s="877"/>
      <c r="I85" s="164"/>
      <c r="J85" s="875"/>
      <c r="K85" s="875"/>
      <c r="L85" s="875"/>
      <c r="M85" s="875"/>
    </row>
    <row r="86" spans="2:96" ht="42" customHeight="1" x14ac:dyDescent="0.15">
      <c r="B86" s="878" t="str">
        <f>IF(F56&lt;&gt;"","   Student Evaluation Tools: 
(cognitive, psychomotor, &amp; affective domains)","")</f>
        <v/>
      </c>
      <c r="C86" s="878"/>
      <c r="D86" s="878"/>
      <c r="E86" s="878"/>
      <c r="F86" s="876"/>
      <c r="G86" s="876"/>
      <c r="H86" s="876"/>
      <c r="I86" s="162"/>
      <c r="J86" s="876"/>
      <c r="K86" s="876"/>
      <c r="L86" s="876"/>
      <c r="M86" s="876"/>
    </row>
    <row r="87" spans="2:96" ht="51.75" customHeight="1" x14ac:dyDescent="0.15">
      <c r="B87" s="878" t="str">
        <f>IF(OR(F86="Not Met",I86="Not Met",J86="Not Met",L86="Not Met",O86="Not Met"),"Rationale for 'Not Met' OR Clarification 
Needed for Student Evaluation Tools:","")</f>
        <v/>
      </c>
      <c r="C87" s="878"/>
      <c r="D87" s="878"/>
      <c r="E87" s="878"/>
      <c r="F87" s="877"/>
      <c r="G87" s="877"/>
      <c r="H87" s="877"/>
      <c r="I87" s="164"/>
      <c r="J87" s="875"/>
      <c r="K87" s="875"/>
      <c r="L87" s="875"/>
      <c r="M87" s="875"/>
    </row>
    <row r="88" spans="2:96" ht="55.5" customHeight="1" x14ac:dyDescent="0.15">
      <c r="B88" s="878" t="str">
        <f>IF(F56&lt;&gt;"","      Competencies &amp; 
Required Minimum Numbers: 
     (Student Minimum Competency [SMC])","")</f>
        <v/>
      </c>
      <c r="C88" s="878"/>
      <c r="D88" s="878"/>
      <c r="E88" s="878"/>
      <c r="F88" s="876"/>
      <c r="G88" s="876"/>
      <c r="H88" s="876"/>
      <c r="I88" s="162"/>
      <c r="J88" s="876"/>
      <c r="K88" s="876"/>
      <c r="L88" s="876"/>
      <c r="M88" s="876"/>
    </row>
    <row r="89" spans="2:96" ht="51.75" customHeight="1" x14ac:dyDescent="0.15">
      <c r="B89" s="878" t="str">
        <f>IF(OR(F88="Not Met",I88="Not Met",J88="Not Met",L88="Not Met",O88="Not Met"),"Rationale for 'Not Met' OR Clarification 
Needed for Required Minimum Numbers (SMC):","")</f>
        <v/>
      </c>
      <c r="C89" s="878"/>
      <c r="D89" s="878"/>
      <c r="E89" s="878"/>
      <c r="F89" s="877"/>
      <c r="G89" s="877"/>
      <c r="H89" s="877"/>
      <c r="I89" s="164"/>
      <c r="J89" s="875"/>
      <c r="K89" s="875"/>
      <c r="L89" s="875"/>
      <c r="M89" s="875"/>
    </row>
    <row r="90" spans="2:96" ht="42" customHeight="1" x14ac:dyDescent="0.15">
      <c r="B90" s="878" t="str">
        <f>IF(F56&lt;&gt;"","Clinical &amp; Capstone Field Internship Sites:
(similar in opportunity &amp; patient volume)","")</f>
        <v/>
      </c>
      <c r="C90" s="878"/>
      <c r="D90" s="878"/>
      <c r="E90" s="878"/>
      <c r="F90" s="876"/>
      <c r="G90" s="876"/>
      <c r="H90" s="876"/>
      <c r="I90" s="162"/>
      <c r="J90" s="876"/>
      <c r="K90" s="876"/>
      <c r="L90" s="876"/>
      <c r="M90" s="876"/>
    </row>
    <row r="91" spans="2:96" ht="48.75" customHeight="1" x14ac:dyDescent="0.15">
      <c r="B91" s="878" t="str">
        <f>IF(OR(F90="Not Met",I90="Not Met",J90="Not Met",L90="Not Met",O90="Not Met"),"Rationale for 'Not Met' OR 
Clarification Needed for Affiliate Sites:","")</f>
        <v/>
      </c>
      <c r="C91" s="878"/>
      <c r="D91" s="878"/>
      <c r="E91" s="878"/>
      <c r="F91" s="877"/>
      <c r="G91" s="877"/>
      <c r="H91" s="877"/>
      <c r="I91" s="164"/>
      <c r="J91" s="875"/>
      <c r="K91" s="875"/>
      <c r="L91" s="875"/>
      <c r="M91" s="875"/>
    </row>
    <row r="92" spans="2:96" ht="42" customHeight="1" x14ac:dyDescent="0.15">
      <c r="B92" s="878" t="str">
        <f>IF(F56&lt;&gt;"","On-Site Liaison Orientation/
Capstone Field Internship Training:","")</f>
        <v/>
      </c>
      <c r="C92" s="878"/>
      <c r="D92" s="878"/>
      <c r="E92" s="878"/>
      <c r="F92" s="876"/>
      <c r="G92" s="876"/>
      <c r="H92" s="876"/>
      <c r="I92" s="162"/>
      <c r="J92" s="876"/>
      <c r="K92" s="876"/>
      <c r="L92" s="876"/>
      <c r="M92" s="876"/>
    </row>
    <row r="93" spans="2:96" ht="48" customHeight="1" x14ac:dyDescent="0.15">
      <c r="B93" s="878" t="str">
        <f>IF(OR(F92="Not Met",I92="Not Met",J92="Not Met",L92="Not Met",O92="Not Met"),"Rationale for 'Not Met' OR Clarification 
Needed for On-Site Liaison Orientation/
Capstone Field Internship Training:","")</f>
        <v/>
      </c>
      <c r="C93" s="878"/>
      <c r="D93" s="878"/>
      <c r="E93" s="878"/>
      <c r="F93" s="877"/>
      <c r="G93" s="877"/>
      <c r="H93" s="877"/>
      <c r="I93" s="164"/>
      <c r="J93" s="875"/>
      <c r="K93" s="875"/>
      <c r="L93" s="875"/>
      <c r="M93" s="875"/>
    </row>
    <row r="96" spans="2:96" ht="40.5" customHeight="1" x14ac:dyDescent="0.15">
      <c r="E96" s="661" t="str">
        <f>IF(AND(H7&gt;=1,H7&lt;&gt;"N/A",H8=""), "This completes the Satellite Addendum","")</f>
        <v/>
      </c>
      <c r="F96" s="661"/>
      <c r="G96" s="661"/>
      <c r="H96" s="661"/>
      <c r="I96" s="661"/>
      <c r="O96" s="891"/>
      <c r="P96" s="891"/>
      <c r="Q96" s="891"/>
      <c r="R96" s="19"/>
      <c r="S96" s="19"/>
      <c r="T96" s="892"/>
      <c r="U96" s="892"/>
      <c r="V96" s="892"/>
      <c r="W96" s="19"/>
      <c r="X96" s="19"/>
      <c r="Y96" s="893"/>
      <c r="Z96" s="893"/>
      <c r="AA96" s="893"/>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row>
    <row r="99" spans="2:13" ht="25.5" customHeight="1" x14ac:dyDescent="0.15">
      <c r="B99" s="146"/>
      <c r="C99" s="878"/>
      <c r="D99" s="878"/>
      <c r="E99" s="878"/>
      <c r="F99" s="882" t="str">
        <f>IF(H8&lt;&gt;"","Not Approved Satellite(s)","")</f>
        <v/>
      </c>
      <c r="G99" s="882"/>
      <c r="H99" s="882"/>
      <c r="I99" s="882"/>
      <c r="J99" s="882"/>
      <c r="K99" s="882"/>
      <c r="L99" s="882"/>
      <c r="M99" s="882"/>
    </row>
    <row r="100" spans="2:13" ht="36.75" customHeight="1" x14ac:dyDescent="0.15">
      <c r="B100" s="146"/>
      <c r="C100" s="682"/>
      <c r="D100" s="682"/>
      <c r="E100" s="682"/>
      <c r="F100" s="882" t="str">
        <f>IF(AND($H8&lt;&gt;"",$H8&gt;=1),"Satellite Location #1","")</f>
        <v/>
      </c>
      <c r="G100" s="882"/>
      <c r="H100" s="882"/>
      <c r="I100" s="159" t="str">
        <f>IF(AND($H8&lt;&gt;"",$H8&gt;=2),"Satellite Location #2","")</f>
        <v/>
      </c>
      <c r="J100" s="882" t="str">
        <f>IF(AND($H8&lt;&gt;"",$H8&gt;=3),"Satellite Location #3","")</f>
        <v/>
      </c>
      <c r="K100" s="882"/>
      <c r="L100" s="882" t="str">
        <f>IF(AND($H8&lt;&gt;"",$H8&gt;=4),"Satellite Location #4","")</f>
        <v/>
      </c>
      <c r="M100" s="882"/>
    </row>
    <row r="101" spans="2:13" ht="39.75" customHeight="1" x14ac:dyDescent="0.15">
      <c r="B101" s="878" t="str">
        <f>IF(F100&lt;&gt;"","Satellite Name, City, State:","")</f>
        <v/>
      </c>
      <c r="C101" s="878"/>
      <c r="D101" s="878"/>
      <c r="E101" s="878"/>
      <c r="F101" s="885"/>
      <c r="G101" s="876"/>
      <c r="H101" s="876"/>
      <c r="I101" s="160"/>
      <c r="J101" s="885"/>
      <c r="K101" s="885"/>
      <c r="L101" s="885"/>
      <c r="M101" s="885"/>
    </row>
    <row r="102" spans="2:13" ht="39.75" customHeight="1" x14ac:dyDescent="0.15">
      <c r="B102" s="878" t="str">
        <f>IF(F100&lt;&gt;"","Distance from main campus:
(in miles)","")</f>
        <v/>
      </c>
      <c r="C102" s="878"/>
      <c r="D102" s="878"/>
      <c r="E102" s="878"/>
      <c r="F102" s="890"/>
      <c r="G102" s="890"/>
      <c r="H102" s="890"/>
      <c r="I102" s="161"/>
      <c r="J102" s="884"/>
      <c r="K102" s="884"/>
      <c r="L102" s="884"/>
      <c r="M102" s="884"/>
    </row>
    <row r="103" spans="2:13" ht="39.75" customHeight="1" x14ac:dyDescent="0.15">
      <c r="B103" s="878" t="str">
        <f>IF(F100&lt;&gt;"","Maximum number of students:
(per cohort)","")</f>
        <v/>
      </c>
      <c r="C103" s="878"/>
      <c r="D103" s="878"/>
      <c r="E103" s="878"/>
      <c r="F103" s="890"/>
      <c r="G103" s="890"/>
      <c r="H103" s="890"/>
      <c r="I103" s="161"/>
      <c r="J103" s="884"/>
      <c r="K103" s="884"/>
      <c r="L103" s="884"/>
      <c r="M103" s="884"/>
    </row>
    <row r="104" spans="2:13" ht="39.75" customHeight="1" x14ac:dyDescent="0.15">
      <c r="B104" s="878" t="str">
        <f>IF(F100&lt;&gt;"","Approved satellite Lead Instructor:","")</f>
        <v/>
      </c>
      <c r="C104" s="878"/>
      <c r="D104" s="878"/>
      <c r="E104" s="878"/>
      <c r="F104" s="876"/>
      <c r="G104" s="876"/>
      <c r="H104" s="876"/>
      <c r="I104" s="160"/>
      <c r="J104" s="885"/>
      <c r="K104" s="885"/>
      <c r="L104" s="885"/>
      <c r="M104" s="885"/>
    </row>
    <row r="105" spans="2:13" ht="39.75" customHeight="1" x14ac:dyDescent="0.15">
      <c r="B105" s="878" t="str">
        <f>IF(F100&lt;&gt;"","Approved satellite Medical Director:","")</f>
        <v/>
      </c>
      <c r="C105" s="878"/>
      <c r="D105" s="878"/>
      <c r="E105" s="878"/>
      <c r="F105" s="876"/>
      <c r="G105" s="876"/>
      <c r="H105" s="876"/>
      <c r="I105" s="160"/>
      <c r="J105" s="885"/>
      <c r="K105" s="885"/>
      <c r="L105" s="885"/>
      <c r="M105" s="885"/>
    </row>
    <row r="106" spans="2:13" ht="64.5" customHeight="1" x14ac:dyDescent="0.15">
      <c r="B106" s="878"/>
      <c r="C106" s="878"/>
      <c r="D106" s="878"/>
      <c r="E106" s="878"/>
      <c r="F106" s="886" t="str">
        <f>IF(F100&lt;&gt;"","Site Visitors, please provide the information below specifically for this satellite location:","")</f>
        <v/>
      </c>
      <c r="G106" s="886"/>
      <c r="H106" s="886"/>
      <c r="I106" s="166" t="str">
        <f>IF(I100&lt;&gt;"","Site Visitors, please provide the information below specifically for this satellite location:","")</f>
        <v/>
      </c>
      <c r="J106" s="886" t="str">
        <f>IF(J100&lt;&gt;"","Site Visitors, please provide the information below specifically for this satellite location:","")</f>
        <v/>
      </c>
      <c r="K106" s="886"/>
      <c r="L106" s="886" t="str">
        <f>IF(L100&lt;&gt;"","Site Visitors, please provide the information below specifically for this satellite location:","")</f>
        <v/>
      </c>
      <c r="M106" s="886"/>
    </row>
    <row r="107" spans="2:13" ht="36" customHeight="1" x14ac:dyDescent="0.15">
      <c r="B107" s="878" t="str">
        <f>IF(F100&lt;&gt;"","Did the site visit team visit (phisically or virtually) the satellite location(s)?","")</f>
        <v/>
      </c>
      <c r="C107" s="878"/>
      <c r="D107" s="878"/>
      <c r="E107" s="878"/>
      <c r="F107" s="876"/>
      <c r="G107" s="876"/>
      <c r="H107" s="876"/>
      <c r="I107" s="162"/>
      <c r="J107" s="876"/>
      <c r="K107" s="876"/>
      <c r="L107" s="876"/>
      <c r="M107" s="876"/>
    </row>
    <row r="108" spans="2:13" ht="36" customHeight="1" x14ac:dyDescent="0.15">
      <c r="B108" s="878" t="str">
        <f>IF(F100&lt;&gt;"","Does the program utilize specific clinical or field affiliations for this location?","")</f>
        <v/>
      </c>
      <c r="C108" s="878"/>
      <c r="D108" s="878"/>
      <c r="E108" s="878"/>
      <c r="F108" s="876"/>
      <c r="G108" s="876"/>
      <c r="H108" s="876"/>
      <c r="I108" s="162"/>
      <c r="J108" s="876"/>
      <c r="K108" s="876"/>
      <c r="L108" s="876"/>
      <c r="M108" s="876"/>
    </row>
    <row r="109" spans="2:13" ht="36" customHeight="1" x14ac:dyDescent="0.15">
      <c r="B109" s="878" t="str">
        <f>IF(F100&lt;&gt;"","PD responsible for management:","")</f>
        <v/>
      </c>
      <c r="C109" s="878"/>
      <c r="D109" s="878"/>
      <c r="E109" s="878"/>
      <c r="F109" s="876"/>
      <c r="G109" s="876"/>
      <c r="H109" s="876"/>
      <c r="I109" s="162"/>
      <c r="J109" s="876"/>
      <c r="K109" s="876"/>
      <c r="L109" s="876"/>
      <c r="M109" s="876"/>
    </row>
    <row r="110" spans="2:13" ht="52.5" customHeight="1" x14ac:dyDescent="0.15">
      <c r="B110" s="878" t="str">
        <f>IF(F100&lt;&gt;"","Satellite(s) Resources Assessment Matrix (RAM) completed 
(separate from main campus)?","")</f>
        <v/>
      </c>
      <c r="C110" s="878"/>
      <c r="D110" s="878"/>
      <c r="E110" s="878"/>
      <c r="F110" s="876"/>
      <c r="G110" s="876"/>
      <c r="H110" s="876"/>
      <c r="I110" s="162"/>
      <c r="J110" s="876"/>
      <c r="K110" s="876"/>
      <c r="L110" s="876"/>
      <c r="M110" s="876"/>
    </row>
    <row r="111" spans="2:13" ht="36" customHeight="1" x14ac:dyDescent="0.15">
      <c r="B111" s="878" t="str">
        <f>IF(F100&lt;&gt;"","Were the equipment &amp; supplies sufficient?","")</f>
        <v/>
      </c>
      <c r="C111" s="878"/>
      <c r="D111" s="878"/>
      <c r="E111" s="878"/>
      <c r="F111" s="876"/>
      <c r="G111" s="876"/>
      <c r="H111" s="876"/>
      <c r="I111" s="162"/>
      <c r="J111" s="876"/>
      <c r="K111" s="876"/>
      <c r="L111" s="876"/>
      <c r="M111" s="876"/>
    </row>
    <row r="112" spans="2:13" ht="36" customHeight="1" x14ac:dyDescent="0.15">
      <c r="B112" s="878" t="str">
        <f>IF(F100&lt;&gt;"","Were the facilities sufficient?","")</f>
        <v/>
      </c>
      <c r="C112" s="878"/>
      <c r="D112" s="878"/>
      <c r="E112" s="878"/>
      <c r="F112" s="876"/>
      <c r="G112" s="876"/>
      <c r="H112" s="876"/>
      <c r="I112" s="162"/>
      <c r="J112" s="876"/>
      <c r="K112" s="876"/>
      <c r="L112" s="876"/>
      <c r="M112" s="876"/>
    </row>
    <row r="113" spans="2:13" ht="62.25" customHeight="1" x14ac:dyDescent="0.15">
      <c r="B113" s="878" t="str">
        <f>IF(OR(F112="Not Met",I112="Not Met",J112="Not Met",L112="Not Met",O112="Not Met"),"Rationale for 'Not Met' OR 
Clarification Needed for Facilities:","")</f>
        <v/>
      </c>
      <c r="C113" s="878"/>
      <c r="D113" s="878"/>
      <c r="E113" s="878"/>
      <c r="F113" s="877"/>
      <c r="G113" s="877"/>
      <c r="H113" s="877"/>
      <c r="I113" s="163"/>
      <c r="J113" s="877"/>
      <c r="K113" s="877"/>
      <c r="L113" s="877"/>
      <c r="M113" s="877"/>
    </row>
    <row r="114" spans="2:13" ht="68.25" customHeight="1" x14ac:dyDescent="0.15">
      <c r="B114" s="878" t="str">
        <f>IF(F100&lt;&gt;"","Program materials apply to the satellite course:
(program catalog, student handbook, policy manual, &amp; clinical/field internship materials)","")</f>
        <v/>
      </c>
      <c r="C114" s="878"/>
      <c r="D114" s="878"/>
      <c r="E114" s="878"/>
      <c r="F114" s="876"/>
      <c r="G114" s="876"/>
      <c r="H114" s="876"/>
      <c r="I114" s="162"/>
      <c r="J114" s="876"/>
      <c r="K114" s="876"/>
      <c r="L114" s="876"/>
      <c r="M114" s="876"/>
    </row>
    <row r="115" spans="2:13" ht="62.25" customHeight="1" x14ac:dyDescent="0.15">
      <c r="B115" s="878" t="str">
        <f>IF(OR(F114="Not Met",I114="Not Met",J114="Not Met",L114="Not Met",O114="Not Met"),"Rationale for 'Not Met' OR Clarification 
Needed for Satellite Program Materials:","")</f>
        <v/>
      </c>
      <c r="C115" s="878"/>
      <c r="D115" s="878"/>
      <c r="E115" s="878"/>
      <c r="F115" s="877"/>
      <c r="G115" s="877"/>
      <c r="H115" s="877"/>
      <c r="I115" s="164"/>
      <c r="J115" s="875"/>
      <c r="K115" s="875"/>
      <c r="L115" s="875"/>
      <c r="M115" s="875"/>
    </row>
    <row r="116" spans="2:13" ht="42" customHeight="1" x14ac:dyDescent="0.15">
      <c r="B116" s="878" t="str">
        <f>IF(F100&lt;&gt;"","Were students interviewed?","")</f>
        <v/>
      </c>
      <c r="C116" s="878"/>
      <c r="D116" s="878"/>
      <c r="E116" s="878"/>
      <c r="F116" s="876"/>
      <c r="G116" s="876"/>
      <c r="H116" s="876"/>
      <c r="I116" s="162"/>
      <c r="J116" s="876"/>
      <c r="K116" s="876"/>
      <c r="L116" s="876"/>
      <c r="M116" s="876"/>
    </row>
    <row r="117" spans="2:13" ht="42" customHeight="1" x14ac:dyDescent="0.15">
      <c r="B117" s="878" t="str">
        <f>IF(F100&lt;&gt;"","Were graduates interviewed?","")</f>
        <v/>
      </c>
      <c r="C117" s="878"/>
      <c r="D117" s="878"/>
      <c r="E117" s="878"/>
      <c r="F117" s="876"/>
      <c r="G117" s="876"/>
      <c r="H117" s="876"/>
      <c r="I117" s="162"/>
      <c r="J117" s="876"/>
      <c r="K117" s="876"/>
      <c r="L117" s="876"/>
      <c r="M117" s="876"/>
    </row>
    <row r="118" spans="2:13" ht="57" customHeight="1" x14ac:dyDescent="0.15">
      <c r="B118" s="878" t="str">
        <f>IF(F100&lt;&gt;"","Is distant technology is used to deliver content?","")</f>
        <v/>
      </c>
      <c r="C118" s="878"/>
      <c r="D118" s="878"/>
      <c r="E118" s="878"/>
      <c r="F118" s="876"/>
      <c r="G118" s="876"/>
      <c r="H118" s="876"/>
      <c r="I118" s="162"/>
      <c r="J118" s="876"/>
      <c r="K118" s="876"/>
      <c r="L118" s="876"/>
      <c r="M118" s="876"/>
    </row>
    <row r="119" spans="2:13" ht="42" customHeight="1" x14ac:dyDescent="0.15">
      <c r="B119" s="878" t="str">
        <f>IF(F100&lt;&gt;"","Student records are permanently maintained at the main campus location:","")</f>
        <v/>
      </c>
      <c r="C119" s="878"/>
      <c r="D119" s="878"/>
      <c r="E119" s="878"/>
      <c r="F119" s="876"/>
      <c r="G119" s="876"/>
      <c r="H119" s="876"/>
      <c r="I119" s="162"/>
      <c r="J119" s="876"/>
      <c r="K119" s="876"/>
      <c r="L119" s="876"/>
      <c r="M119" s="876"/>
    </row>
    <row r="120" spans="2:13" ht="98.25" customHeight="1" x14ac:dyDescent="0.15">
      <c r="B120" s="878" t="str">
        <f>IF(OR(F119="Not Met",I119="Not Met",J119="Not Met",L119="Not Met",O119="Not Met"),"Where is the permanent location?","")</f>
        <v/>
      </c>
      <c r="C120" s="878"/>
      <c r="D120" s="878"/>
      <c r="E120" s="878"/>
      <c r="F120" s="877"/>
      <c r="G120" s="877"/>
      <c r="H120" s="877"/>
      <c r="I120" s="164"/>
      <c r="J120" s="875"/>
      <c r="K120" s="875"/>
      <c r="L120" s="875"/>
      <c r="M120" s="875"/>
    </row>
    <row r="121" spans="2:13" ht="38" customHeight="1" x14ac:dyDescent="0.15">
      <c r="B121" s="881" t="str">
        <f>IF(F100&lt;&gt;"","There is evidence the following items are consistent with the main campus:","")</f>
        <v/>
      </c>
      <c r="C121" s="881"/>
      <c r="D121" s="881"/>
      <c r="E121" s="881"/>
      <c r="F121" s="888"/>
      <c r="G121" s="888"/>
      <c r="H121" s="888"/>
      <c r="I121" s="165"/>
      <c r="J121" s="682"/>
      <c r="K121" s="682"/>
      <c r="L121" s="682"/>
      <c r="M121" s="682"/>
    </row>
    <row r="122" spans="2:13" ht="42" customHeight="1" x14ac:dyDescent="0.15">
      <c r="B122" s="878" t="str">
        <f>IF(F100&lt;&gt;"","Curricula:","")</f>
        <v/>
      </c>
      <c r="C122" s="878"/>
      <c r="D122" s="878"/>
      <c r="E122" s="878"/>
      <c r="F122" s="876"/>
      <c r="G122" s="876"/>
      <c r="H122" s="876"/>
      <c r="I122" s="162"/>
      <c r="J122" s="876"/>
      <c r="K122" s="876"/>
      <c r="L122" s="876"/>
      <c r="M122" s="876"/>
    </row>
    <row r="123" spans="2:13" ht="45" customHeight="1" x14ac:dyDescent="0.15">
      <c r="B123" s="878" t="str">
        <f>IF(OR(F122="Not Met",I122="Not Met",J122="Not Met",L122="Not Met",O122="Not Met"),"Rationale for 'Not Met' OR 
Clarification Needed for Curricula:","")</f>
        <v/>
      </c>
      <c r="C123" s="878"/>
      <c r="D123" s="878"/>
      <c r="E123" s="878"/>
      <c r="F123" s="877"/>
      <c r="G123" s="877"/>
      <c r="H123" s="877"/>
      <c r="I123" s="164"/>
      <c r="J123" s="875"/>
      <c r="K123" s="875"/>
      <c r="L123" s="875"/>
      <c r="M123" s="875"/>
    </row>
    <row r="124" spans="2:13" ht="42" customHeight="1" x14ac:dyDescent="0.15">
      <c r="B124" s="878" t="str">
        <f>IF(F100&lt;&gt;"","Course Syllabi:","")</f>
        <v/>
      </c>
      <c r="C124" s="878"/>
      <c r="D124" s="878"/>
      <c r="E124" s="878"/>
      <c r="F124" s="876"/>
      <c r="G124" s="876"/>
      <c r="H124" s="876"/>
      <c r="I124" s="162"/>
      <c r="J124" s="876"/>
      <c r="K124" s="876"/>
      <c r="L124" s="876"/>
      <c r="M124" s="876"/>
    </row>
    <row r="125" spans="2:13" ht="45.75" customHeight="1" x14ac:dyDescent="0.15">
      <c r="B125" s="878" t="str">
        <f>IF(OR(F124="Not Met",I124="Not Met",J124="Not Met",L124="Not Met",O124="Not Met"),"Rationale for 'Not Met' OR 
Clarification Needed for Course Syllabi:","")</f>
        <v/>
      </c>
      <c r="C125" s="878"/>
      <c r="D125" s="878"/>
      <c r="E125" s="878"/>
      <c r="F125" s="877"/>
      <c r="G125" s="877"/>
      <c r="H125" s="877"/>
      <c r="I125" s="164"/>
      <c r="J125" s="875"/>
      <c r="K125" s="875"/>
      <c r="L125" s="875"/>
      <c r="M125" s="875"/>
    </row>
    <row r="126" spans="2:13" ht="57" customHeight="1" x14ac:dyDescent="0.15">
      <c r="B126" s="878" t="str">
        <f>IF(F100&lt;&gt;"","Faculty Monitoring &amp; Oversight of Sites:
(clinical, field exp. &amp; capstone field internship)","")</f>
        <v/>
      </c>
      <c r="C126" s="878"/>
      <c r="D126" s="878"/>
      <c r="E126" s="878"/>
      <c r="F126" s="876"/>
      <c r="G126" s="876"/>
      <c r="H126" s="876"/>
      <c r="I126" s="162"/>
      <c r="J126" s="876"/>
      <c r="K126" s="876"/>
      <c r="L126" s="876"/>
      <c r="M126" s="876"/>
    </row>
    <row r="127" spans="2:13" ht="49.5" customHeight="1" x14ac:dyDescent="0.15">
      <c r="B127" s="878" t="str">
        <f>IF(OR(F126="Not Met",I126="Not Met",J126="Not Met",L126="Not Met",O126="Not Met"),"Rationale for 'Not Met' OR Clarification 
Needed for Monitoring &amp; Oversight of Sites:","")</f>
        <v/>
      </c>
      <c r="C127" s="878"/>
      <c r="D127" s="878"/>
      <c r="E127" s="878"/>
      <c r="F127" s="877"/>
      <c r="G127" s="877"/>
      <c r="H127" s="877"/>
      <c r="I127" s="164"/>
      <c r="J127" s="875"/>
      <c r="K127" s="875"/>
      <c r="L127" s="875"/>
      <c r="M127" s="875"/>
    </row>
    <row r="128" spans="2:13" ht="42" customHeight="1" x14ac:dyDescent="0.15">
      <c r="B128" s="878" t="str">
        <f>IF(F100&lt;&gt;"","Scheduled Course Hours &amp; Sequencing:","")</f>
        <v/>
      </c>
      <c r="C128" s="878"/>
      <c r="D128" s="878"/>
      <c r="E128" s="878"/>
      <c r="F128" s="876"/>
      <c r="G128" s="876"/>
      <c r="H128" s="876"/>
      <c r="I128" s="162"/>
      <c r="J128" s="876"/>
      <c r="K128" s="876"/>
      <c r="L128" s="876"/>
      <c r="M128" s="876"/>
    </row>
    <row r="129" spans="2:96" ht="52.5" customHeight="1" x14ac:dyDescent="0.15">
      <c r="B129" s="878" t="str">
        <f>IF(OR(F128="Not Met",I128="Not Met",J128="Not Met",L128="Not Met",O128="Not Met"),"Rationale for 'Not Met' OR Clarification 
Needed for Course Hours &amp; Sequencing:","")</f>
        <v/>
      </c>
      <c r="C129" s="878"/>
      <c r="D129" s="878"/>
      <c r="E129" s="878"/>
      <c r="F129" s="877"/>
      <c r="G129" s="877"/>
      <c r="H129" s="877"/>
      <c r="I129" s="164"/>
      <c r="J129" s="875"/>
      <c r="K129" s="875"/>
      <c r="L129" s="875"/>
      <c r="M129" s="875"/>
    </row>
    <row r="130" spans="2:96" ht="42" customHeight="1" x14ac:dyDescent="0.15">
      <c r="B130" s="878" t="str">
        <f>IF(F100&lt;&gt;"","   Student Evaluation Tools: 
(cognitive, psychomotor, &amp; affective domains)","")</f>
        <v/>
      </c>
      <c r="C130" s="878"/>
      <c r="D130" s="878"/>
      <c r="E130" s="878"/>
      <c r="F130" s="876"/>
      <c r="G130" s="876"/>
      <c r="H130" s="876"/>
      <c r="I130" s="162"/>
      <c r="J130" s="876"/>
      <c r="K130" s="876"/>
      <c r="L130" s="876"/>
      <c r="M130" s="876"/>
    </row>
    <row r="131" spans="2:96" ht="51.75" customHeight="1" x14ac:dyDescent="0.15">
      <c r="B131" s="878" t="str">
        <f>IF(OR(F130="Not Met",I130="Not Met",J130="Not Met",L130="Not Met",O130="Not Met"),"Rationale for 'Not Met' OR Clarification 
Needed for Student Evaluation Tools:","")</f>
        <v/>
      </c>
      <c r="C131" s="878"/>
      <c r="D131" s="878"/>
      <c r="E131" s="878"/>
      <c r="F131" s="877"/>
      <c r="G131" s="877"/>
      <c r="H131" s="877"/>
      <c r="I131" s="164"/>
      <c r="J131" s="875"/>
      <c r="K131" s="875"/>
      <c r="L131" s="875"/>
      <c r="M131" s="875"/>
    </row>
    <row r="132" spans="2:96" ht="55.5" customHeight="1" x14ac:dyDescent="0.15">
      <c r="B132" s="878" t="str">
        <f>IF(F100&lt;&gt;"","      Competencies &amp; 
Required Minimum Numbers: 
     (Student Minimum Competency [SMC])","")</f>
        <v/>
      </c>
      <c r="C132" s="878"/>
      <c r="D132" s="878"/>
      <c r="E132" s="878"/>
      <c r="F132" s="876"/>
      <c r="G132" s="876"/>
      <c r="H132" s="876"/>
      <c r="I132" s="162"/>
      <c r="J132" s="876"/>
      <c r="K132" s="876"/>
      <c r="L132" s="876"/>
      <c r="M132" s="876"/>
    </row>
    <row r="133" spans="2:96" ht="51.75" customHeight="1" x14ac:dyDescent="0.15">
      <c r="B133" s="878" t="str">
        <f>IF(OR(F132="Not Met",I132="Not Met",J132="Not Met",L132="Not Met",O132="Not Met"),"Rationale for 'Not Met' OR Clarification 
Needed for Required Minimum Numbers (SMC):","")</f>
        <v/>
      </c>
      <c r="C133" s="878"/>
      <c r="D133" s="878"/>
      <c r="E133" s="878"/>
      <c r="F133" s="877"/>
      <c r="G133" s="877"/>
      <c r="H133" s="877"/>
      <c r="I133" s="164"/>
      <c r="J133" s="875"/>
      <c r="K133" s="875"/>
      <c r="L133" s="875"/>
      <c r="M133" s="875"/>
    </row>
    <row r="134" spans="2:96" ht="42" customHeight="1" x14ac:dyDescent="0.15">
      <c r="B134" s="878" t="str">
        <f>IF(F100&lt;&gt;"","Clinical &amp; Capstone Field Internship Sites:
(similar in opportunity &amp; patient volume)","")</f>
        <v/>
      </c>
      <c r="C134" s="878"/>
      <c r="D134" s="878"/>
      <c r="E134" s="878"/>
      <c r="F134" s="876"/>
      <c r="G134" s="876"/>
      <c r="H134" s="876"/>
      <c r="I134" s="162"/>
      <c r="J134" s="876"/>
      <c r="K134" s="876"/>
      <c r="L134" s="876"/>
      <c r="M134" s="876"/>
    </row>
    <row r="135" spans="2:96" ht="48.75" customHeight="1" x14ac:dyDescent="0.15">
      <c r="B135" s="878" t="str">
        <f>IF(OR(F134="Not Met",I134="Not Met",J134="Not Met",L134="Not Met",O134="Not Met"),"Rationale for 'Not Met' OR 
Clarification Needed for Affiliate Sites:","")</f>
        <v/>
      </c>
      <c r="C135" s="878"/>
      <c r="D135" s="878"/>
      <c r="E135" s="878"/>
      <c r="F135" s="877"/>
      <c r="G135" s="877"/>
      <c r="H135" s="877"/>
      <c r="I135" s="164"/>
      <c r="J135" s="875"/>
      <c r="K135" s="875"/>
      <c r="L135" s="875"/>
      <c r="M135" s="875"/>
    </row>
    <row r="136" spans="2:96" ht="42" customHeight="1" x14ac:dyDescent="0.15">
      <c r="B136" s="878" t="str">
        <f>IF(F100&lt;&gt;"","On-Site Liaison Orientation/
Capstone Field Internship Training:","")</f>
        <v/>
      </c>
      <c r="C136" s="878"/>
      <c r="D136" s="878"/>
      <c r="E136" s="878"/>
      <c r="F136" s="876"/>
      <c r="G136" s="876"/>
      <c r="H136" s="876"/>
      <c r="I136" s="162"/>
      <c r="J136" s="876"/>
      <c r="K136" s="876"/>
      <c r="L136" s="876"/>
      <c r="M136" s="876"/>
    </row>
    <row r="137" spans="2:96" ht="48" customHeight="1" x14ac:dyDescent="0.15">
      <c r="B137" s="878" t="str">
        <f>IF(OR(F136="Not Met",I136="Not Met",J136="Not Met",L136="Not Met",O136="Not Met"),"Rationale for 'Not Met' OR Clarification 
Needed for On-Site Liaison Orientation/
Capstone Field Internship Training:","")</f>
        <v/>
      </c>
      <c r="C137" s="878"/>
      <c r="D137" s="878"/>
      <c r="E137" s="878"/>
      <c r="F137" s="877"/>
      <c r="G137" s="877"/>
      <c r="H137" s="877"/>
      <c r="I137" s="164"/>
      <c r="J137" s="875"/>
      <c r="K137" s="875"/>
      <c r="L137" s="875"/>
      <c r="M137" s="875"/>
    </row>
    <row r="140" spans="2:96" ht="40.5" customHeight="1" x14ac:dyDescent="0.15">
      <c r="E140" s="661" t="str">
        <f>IF(AND(H8&lt;&gt;"",H8&gt;=1), "This completes the Satellite Addendum","")</f>
        <v/>
      </c>
      <c r="F140" s="661"/>
      <c r="G140" s="661"/>
      <c r="H140" s="661"/>
      <c r="I140" s="661"/>
      <c r="O140" s="891"/>
      <c r="P140" s="891"/>
      <c r="Q140" s="891"/>
      <c r="R140" s="19"/>
      <c r="S140" s="19"/>
      <c r="T140" s="892"/>
      <c r="U140" s="892"/>
      <c r="V140" s="892"/>
      <c r="W140" s="19"/>
      <c r="X140" s="19"/>
      <c r="Y140" s="893"/>
      <c r="Z140" s="893"/>
      <c r="AA140" s="893"/>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19"/>
      <c r="CH140" s="19"/>
      <c r="CI140" s="19"/>
      <c r="CJ140" s="19"/>
      <c r="CK140" s="19"/>
      <c r="CL140" s="19"/>
      <c r="CM140" s="19"/>
      <c r="CN140" s="19"/>
      <c r="CO140" s="19"/>
      <c r="CP140" s="19"/>
      <c r="CQ140" s="19"/>
      <c r="CR140" s="19"/>
    </row>
  </sheetData>
  <sheetProtection algorithmName="SHA-512" hashValue="UP8B02LZZoK/MFQhkHUXGFXfQe22ehjcTP3MNkzQmzrg3tjsXKyije6gYCwmqxvbaIES6YWz7vL6jvBYR7ViCg==" saltValue="7RcntKgD89DuIL0okVmlDQ==" spinCount="100000" sheet="1" formatRows="0" selectLockedCells="1"/>
  <mergeCells count="483">
    <mergeCell ref="E140:I140"/>
    <mergeCell ref="O140:Q140"/>
    <mergeCell ref="T140:V140"/>
    <mergeCell ref="Y140:AA140"/>
    <mergeCell ref="B135:E135"/>
    <mergeCell ref="F135:H135"/>
    <mergeCell ref="J135:K135"/>
    <mergeCell ref="L135:M135"/>
    <mergeCell ref="B136:E136"/>
    <mergeCell ref="F136:H136"/>
    <mergeCell ref="J136:K136"/>
    <mergeCell ref="L136:M136"/>
    <mergeCell ref="B137:E137"/>
    <mergeCell ref="F137:H137"/>
    <mergeCell ref="J137:K137"/>
    <mergeCell ref="L137:M137"/>
    <mergeCell ref="B132:E132"/>
    <mergeCell ref="F132:H132"/>
    <mergeCell ref="J132:K132"/>
    <mergeCell ref="L132:M132"/>
    <mergeCell ref="B133:E133"/>
    <mergeCell ref="F133:H133"/>
    <mergeCell ref="J133:K133"/>
    <mergeCell ref="L133:M133"/>
    <mergeCell ref="B134:E134"/>
    <mergeCell ref="F134:H134"/>
    <mergeCell ref="J134:K134"/>
    <mergeCell ref="L134:M134"/>
    <mergeCell ref="B130:E130"/>
    <mergeCell ref="F130:H130"/>
    <mergeCell ref="J130:K130"/>
    <mergeCell ref="L130:M130"/>
    <mergeCell ref="B131:E131"/>
    <mergeCell ref="F131:H131"/>
    <mergeCell ref="J131:K131"/>
    <mergeCell ref="L131:M131"/>
    <mergeCell ref="B128:E128"/>
    <mergeCell ref="F128:H128"/>
    <mergeCell ref="J128:K128"/>
    <mergeCell ref="L128:M128"/>
    <mergeCell ref="B129:E129"/>
    <mergeCell ref="F129:H129"/>
    <mergeCell ref="J129:K129"/>
    <mergeCell ref="L129:M129"/>
    <mergeCell ref="B125:E125"/>
    <mergeCell ref="F125:H125"/>
    <mergeCell ref="J125:K125"/>
    <mergeCell ref="L125:M125"/>
    <mergeCell ref="B126:E126"/>
    <mergeCell ref="F126:H126"/>
    <mergeCell ref="J126:K126"/>
    <mergeCell ref="L126:M126"/>
    <mergeCell ref="B127:E127"/>
    <mergeCell ref="F127:H127"/>
    <mergeCell ref="J127:K127"/>
    <mergeCell ref="L127:M127"/>
    <mergeCell ref="B122:E122"/>
    <mergeCell ref="F122:H122"/>
    <mergeCell ref="J122:K122"/>
    <mergeCell ref="L122:M122"/>
    <mergeCell ref="B123:E123"/>
    <mergeCell ref="F123:H123"/>
    <mergeCell ref="J123:K123"/>
    <mergeCell ref="L123:M123"/>
    <mergeCell ref="B124:E124"/>
    <mergeCell ref="F124:H124"/>
    <mergeCell ref="J124:K124"/>
    <mergeCell ref="L124:M124"/>
    <mergeCell ref="B119:E119"/>
    <mergeCell ref="F119:H119"/>
    <mergeCell ref="J119:K119"/>
    <mergeCell ref="L119:M119"/>
    <mergeCell ref="B120:E120"/>
    <mergeCell ref="F120:H120"/>
    <mergeCell ref="J120:K120"/>
    <mergeCell ref="L120:M120"/>
    <mergeCell ref="B121:E121"/>
    <mergeCell ref="F121:H121"/>
    <mergeCell ref="J121:K121"/>
    <mergeCell ref="L121:M121"/>
    <mergeCell ref="B118:E118"/>
    <mergeCell ref="F118:H118"/>
    <mergeCell ref="J118:K118"/>
    <mergeCell ref="L118:M118"/>
    <mergeCell ref="B116:E116"/>
    <mergeCell ref="F116:H116"/>
    <mergeCell ref="J116:K116"/>
    <mergeCell ref="L116:M116"/>
    <mergeCell ref="B117:E117"/>
    <mergeCell ref="F117:H117"/>
    <mergeCell ref="J117:K117"/>
    <mergeCell ref="L117:M117"/>
    <mergeCell ref="B113:E113"/>
    <mergeCell ref="F113:H113"/>
    <mergeCell ref="J113:K113"/>
    <mergeCell ref="L113:M113"/>
    <mergeCell ref="B114:E114"/>
    <mergeCell ref="F114:H114"/>
    <mergeCell ref="J114:K114"/>
    <mergeCell ref="L114:M114"/>
    <mergeCell ref="B115:E115"/>
    <mergeCell ref="F115:H115"/>
    <mergeCell ref="J115:K115"/>
    <mergeCell ref="L115:M115"/>
    <mergeCell ref="B110:E110"/>
    <mergeCell ref="F110:H110"/>
    <mergeCell ref="J110:K110"/>
    <mergeCell ref="L110:M110"/>
    <mergeCell ref="B111:E111"/>
    <mergeCell ref="F111:H111"/>
    <mergeCell ref="J111:K111"/>
    <mergeCell ref="L111:M111"/>
    <mergeCell ref="B112:E112"/>
    <mergeCell ref="F112:H112"/>
    <mergeCell ref="J112:K112"/>
    <mergeCell ref="L112:M112"/>
    <mergeCell ref="B107:E107"/>
    <mergeCell ref="F107:H107"/>
    <mergeCell ref="J107:K107"/>
    <mergeCell ref="L107:M107"/>
    <mergeCell ref="B108:E108"/>
    <mergeCell ref="F108:H108"/>
    <mergeCell ref="J108:K108"/>
    <mergeCell ref="L108:M108"/>
    <mergeCell ref="B109:E109"/>
    <mergeCell ref="F109:H109"/>
    <mergeCell ref="J109:K109"/>
    <mergeCell ref="L109:M109"/>
    <mergeCell ref="B104:E104"/>
    <mergeCell ref="F104:H104"/>
    <mergeCell ref="J104:K104"/>
    <mergeCell ref="L104:M104"/>
    <mergeCell ref="B105:E105"/>
    <mergeCell ref="F105:H105"/>
    <mergeCell ref="J105:K105"/>
    <mergeCell ref="L105:M105"/>
    <mergeCell ref="B106:E106"/>
    <mergeCell ref="F106:H106"/>
    <mergeCell ref="J106:K106"/>
    <mergeCell ref="L106:M106"/>
    <mergeCell ref="B101:E101"/>
    <mergeCell ref="F101:H101"/>
    <mergeCell ref="J101:K101"/>
    <mergeCell ref="L101:M101"/>
    <mergeCell ref="B102:E102"/>
    <mergeCell ref="F102:H102"/>
    <mergeCell ref="J102:K102"/>
    <mergeCell ref="L102:M102"/>
    <mergeCell ref="B103:E103"/>
    <mergeCell ref="F103:H103"/>
    <mergeCell ref="J103:K103"/>
    <mergeCell ref="L103:M103"/>
    <mergeCell ref="E96:I96"/>
    <mergeCell ref="O96:Q96"/>
    <mergeCell ref="T96:V96"/>
    <mergeCell ref="Y96:AA96"/>
    <mergeCell ref="C99:E99"/>
    <mergeCell ref="F99:M99"/>
    <mergeCell ref="C100:E100"/>
    <mergeCell ref="F100:H100"/>
    <mergeCell ref="J100:K100"/>
    <mergeCell ref="L100:M100"/>
    <mergeCell ref="B91:E91"/>
    <mergeCell ref="F91:H91"/>
    <mergeCell ref="J91:K91"/>
    <mergeCell ref="L91:M91"/>
    <mergeCell ref="B92:E92"/>
    <mergeCell ref="F92:H92"/>
    <mergeCell ref="J92:K92"/>
    <mergeCell ref="L92:M92"/>
    <mergeCell ref="B93:E93"/>
    <mergeCell ref="F93:H93"/>
    <mergeCell ref="J93:K93"/>
    <mergeCell ref="L93:M93"/>
    <mergeCell ref="B88:E88"/>
    <mergeCell ref="F88:H88"/>
    <mergeCell ref="J88:K88"/>
    <mergeCell ref="L88:M88"/>
    <mergeCell ref="B89:E89"/>
    <mergeCell ref="F89:H89"/>
    <mergeCell ref="J89:K89"/>
    <mergeCell ref="L89:M89"/>
    <mergeCell ref="B90:E90"/>
    <mergeCell ref="F90:H90"/>
    <mergeCell ref="J90:K90"/>
    <mergeCell ref="L90:M90"/>
    <mergeCell ref="B86:E86"/>
    <mergeCell ref="F86:H86"/>
    <mergeCell ref="J86:K86"/>
    <mergeCell ref="L86:M86"/>
    <mergeCell ref="B87:E87"/>
    <mergeCell ref="F87:H87"/>
    <mergeCell ref="J87:K87"/>
    <mergeCell ref="L87:M87"/>
    <mergeCell ref="B84:E84"/>
    <mergeCell ref="F84:H84"/>
    <mergeCell ref="J84:K84"/>
    <mergeCell ref="L84:M84"/>
    <mergeCell ref="B85:E85"/>
    <mergeCell ref="F85:H85"/>
    <mergeCell ref="J85:K85"/>
    <mergeCell ref="L85:M85"/>
    <mergeCell ref="B81:E81"/>
    <mergeCell ref="F81:H81"/>
    <mergeCell ref="J81:K81"/>
    <mergeCell ref="L81:M81"/>
    <mergeCell ref="B82:E82"/>
    <mergeCell ref="F82:H82"/>
    <mergeCell ref="J82:K82"/>
    <mergeCell ref="L82:M82"/>
    <mergeCell ref="B83:E83"/>
    <mergeCell ref="F83:H83"/>
    <mergeCell ref="J83:K83"/>
    <mergeCell ref="L83:M83"/>
    <mergeCell ref="B78:E78"/>
    <mergeCell ref="F78:H78"/>
    <mergeCell ref="J78:K78"/>
    <mergeCell ref="L78:M78"/>
    <mergeCell ref="B79:E79"/>
    <mergeCell ref="F79:H79"/>
    <mergeCell ref="J79:K79"/>
    <mergeCell ref="L79:M79"/>
    <mergeCell ref="B80:E80"/>
    <mergeCell ref="F80:H80"/>
    <mergeCell ref="J80:K80"/>
    <mergeCell ref="L80:M80"/>
    <mergeCell ref="B75:E75"/>
    <mergeCell ref="F75:H75"/>
    <mergeCell ref="J75:K75"/>
    <mergeCell ref="L75:M75"/>
    <mergeCell ref="B76:E76"/>
    <mergeCell ref="F76:H76"/>
    <mergeCell ref="J76:K76"/>
    <mergeCell ref="L76:M76"/>
    <mergeCell ref="B77:E77"/>
    <mergeCell ref="F77:H77"/>
    <mergeCell ref="J77:K77"/>
    <mergeCell ref="L77:M77"/>
    <mergeCell ref="B74:E74"/>
    <mergeCell ref="F74:H74"/>
    <mergeCell ref="J74:K74"/>
    <mergeCell ref="L74:M74"/>
    <mergeCell ref="B72:E72"/>
    <mergeCell ref="F72:H72"/>
    <mergeCell ref="J72:K72"/>
    <mergeCell ref="L72:M72"/>
    <mergeCell ref="B73:E73"/>
    <mergeCell ref="F73:H73"/>
    <mergeCell ref="J73:K73"/>
    <mergeCell ref="L73:M73"/>
    <mergeCell ref="B69:E69"/>
    <mergeCell ref="F69:H69"/>
    <mergeCell ref="J69:K69"/>
    <mergeCell ref="L69:M69"/>
    <mergeCell ref="B70:E70"/>
    <mergeCell ref="F70:H70"/>
    <mergeCell ref="J70:K70"/>
    <mergeCell ref="L70:M70"/>
    <mergeCell ref="B71:E71"/>
    <mergeCell ref="F71:H71"/>
    <mergeCell ref="J71:K71"/>
    <mergeCell ref="L71:M71"/>
    <mergeCell ref="B66:E66"/>
    <mergeCell ref="F66:H66"/>
    <mergeCell ref="J66:K66"/>
    <mergeCell ref="L66:M66"/>
    <mergeCell ref="B67:E67"/>
    <mergeCell ref="F67:H67"/>
    <mergeCell ref="J67:K67"/>
    <mergeCell ref="L67:M67"/>
    <mergeCell ref="B68:E68"/>
    <mergeCell ref="F68:H68"/>
    <mergeCell ref="J68:K68"/>
    <mergeCell ref="L68:M68"/>
    <mergeCell ref="B63:E63"/>
    <mergeCell ref="F63:H63"/>
    <mergeCell ref="J63:K63"/>
    <mergeCell ref="L63:M63"/>
    <mergeCell ref="B64:E64"/>
    <mergeCell ref="F64:H64"/>
    <mergeCell ref="J64:K64"/>
    <mergeCell ref="L64:M64"/>
    <mergeCell ref="B65:E65"/>
    <mergeCell ref="F65:H65"/>
    <mergeCell ref="J65:K65"/>
    <mergeCell ref="L65:M65"/>
    <mergeCell ref="B60:E60"/>
    <mergeCell ref="F60:H60"/>
    <mergeCell ref="J60:K60"/>
    <mergeCell ref="L60:M60"/>
    <mergeCell ref="B61:E61"/>
    <mergeCell ref="F61:H61"/>
    <mergeCell ref="J61:K61"/>
    <mergeCell ref="L61:M61"/>
    <mergeCell ref="B62:E62"/>
    <mergeCell ref="F62:H62"/>
    <mergeCell ref="J62:K62"/>
    <mergeCell ref="L62:M62"/>
    <mergeCell ref="B57:E57"/>
    <mergeCell ref="F57:H57"/>
    <mergeCell ref="J57:K57"/>
    <mergeCell ref="L57:M57"/>
    <mergeCell ref="B58:E58"/>
    <mergeCell ref="F58:H58"/>
    <mergeCell ref="J58:K58"/>
    <mergeCell ref="L58:M58"/>
    <mergeCell ref="B59:E59"/>
    <mergeCell ref="F59:H59"/>
    <mergeCell ref="J59:K59"/>
    <mergeCell ref="L59:M59"/>
    <mergeCell ref="C56:E56"/>
    <mergeCell ref="F56:H56"/>
    <mergeCell ref="J56:K56"/>
    <mergeCell ref="L56:M56"/>
    <mergeCell ref="F11:M11"/>
    <mergeCell ref="J23:K23"/>
    <mergeCell ref="L21:M21"/>
    <mergeCell ref="F13:H13"/>
    <mergeCell ref="F14:H14"/>
    <mergeCell ref="J16:K16"/>
    <mergeCell ref="J17:K17"/>
    <mergeCell ref="J18:K18"/>
    <mergeCell ref="F15:H15"/>
    <mergeCell ref="F16:H16"/>
    <mergeCell ref="F17:H17"/>
    <mergeCell ref="F21:H21"/>
    <mergeCell ref="J21:K21"/>
    <mergeCell ref="L26:M26"/>
    <mergeCell ref="L27:M27"/>
    <mergeCell ref="F18:H18"/>
    <mergeCell ref="L19:M19"/>
    <mergeCell ref="L20:M20"/>
    <mergeCell ref="J43:K43"/>
    <mergeCell ref="F41:H41"/>
    <mergeCell ref="C55:E55"/>
    <mergeCell ref="F55:M55"/>
    <mergeCell ref="T11:W11"/>
    <mergeCell ref="Y11:AB11"/>
    <mergeCell ref="O52:Q52"/>
    <mergeCell ref="T52:V52"/>
    <mergeCell ref="Y52:AA52"/>
    <mergeCell ref="J36:K36"/>
    <mergeCell ref="J49:K49"/>
    <mergeCell ref="J29:K29"/>
    <mergeCell ref="L47:M47"/>
    <mergeCell ref="L48:M48"/>
    <mergeCell ref="L49:M49"/>
    <mergeCell ref="L45:M45"/>
    <mergeCell ref="L46:M46"/>
    <mergeCell ref="J35:K35"/>
    <mergeCell ref="J41:K41"/>
    <mergeCell ref="J28:K28"/>
    <mergeCell ref="L42:M42"/>
    <mergeCell ref="O11:R11"/>
    <mergeCell ref="J37:K37"/>
    <mergeCell ref="L29:M29"/>
    <mergeCell ref="L28:M28"/>
    <mergeCell ref="J47:K47"/>
    <mergeCell ref="J48:K48"/>
    <mergeCell ref="B3:L3"/>
    <mergeCell ref="B22:E22"/>
    <mergeCell ref="F22:H22"/>
    <mergeCell ref="J22:K22"/>
    <mergeCell ref="L22:M22"/>
    <mergeCell ref="B19:E19"/>
    <mergeCell ref="F19:H19"/>
    <mergeCell ref="B13:E13"/>
    <mergeCell ref="B18:E18"/>
    <mergeCell ref="J12:K12"/>
    <mergeCell ref="L12:M12"/>
    <mergeCell ref="L13:M13"/>
    <mergeCell ref="L14:M14"/>
    <mergeCell ref="L15:M15"/>
    <mergeCell ref="L16:M16"/>
    <mergeCell ref="L17:M17"/>
    <mergeCell ref="L18:M18"/>
    <mergeCell ref="B38:E38"/>
    <mergeCell ref="B6:G6"/>
    <mergeCell ref="J13:K13"/>
    <mergeCell ref="B7:G7"/>
    <mergeCell ref="F33:H33"/>
    <mergeCell ref="B16:E16"/>
    <mergeCell ref="B14:E14"/>
    <mergeCell ref="B15:E15"/>
    <mergeCell ref="B21:E21"/>
    <mergeCell ref="C12:E12"/>
    <mergeCell ref="C11:E11"/>
    <mergeCell ref="F20:H20"/>
    <mergeCell ref="B30:E30"/>
    <mergeCell ref="F30:H30"/>
    <mergeCell ref="B28:E28"/>
    <mergeCell ref="F28:H28"/>
    <mergeCell ref="B23:E23"/>
    <mergeCell ref="F23:H23"/>
    <mergeCell ref="F31:H31"/>
    <mergeCell ref="B27:E27"/>
    <mergeCell ref="B24:E24"/>
    <mergeCell ref="F24:H24"/>
    <mergeCell ref="B29:E29"/>
    <mergeCell ref="B31:E31"/>
    <mergeCell ref="F27:H27"/>
    <mergeCell ref="F25:H25"/>
    <mergeCell ref="J38:K38"/>
    <mergeCell ref="J39:K39"/>
    <mergeCell ref="J40:K40"/>
    <mergeCell ref="F42:H42"/>
    <mergeCell ref="F44:H44"/>
    <mergeCell ref="L44:M44"/>
    <mergeCell ref="L43:M43"/>
    <mergeCell ref="B32:E32"/>
    <mergeCell ref="F32:H32"/>
    <mergeCell ref="B49:E49"/>
    <mergeCell ref="F49:H49"/>
    <mergeCell ref="B45:E45"/>
    <mergeCell ref="F45:H45"/>
    <mergeCell ref="F38:H38"/>
    <mergeCell ref="B46:E46"/>
    <mergeCell ref="F46:H46"/>
    <mergeCell ref="F48:H48"/>
    <mergeCell ref="J45:K45"/>
    <mergeCell ref="J46:K46"/>
    <mergeCell ref="L34:M34"/>
    <mergeCell ref="L36:M36"/>
    <mergeCell ref="L38:M38"/>
    <mergeCell ref="L39:M39"/>
    <mergeCell ref="L40:M40"/>
    <mergeCell ref="L41:M41"/>
    <mergeCell ref="B2:L2"/>
    <mergeCell ref="B4:L4"/>
    <mergeCell ref="B44:E44"/>
    <mergeCell ref="B42:E42"/>
    <mergeCell ref="B40:E40"/>
    <mergeCell ref="B36:E36"/>
    <mergeCell ref="B34:E34"/>
    <mergeCell ref="B33:E33"/>
    <mergeCell ref="B17:E17"/>
    <mergeCell ref="F12:H12"/>
    <mergeCell ref="F29:H29"/>
    <mergeCell ref="B26:E26"/>
    <mergeCell ref="F26:H26"/>
    <mergeCell ref="B8:G8"/>
    <mergeCell ref="B20:E20"/>
    <mergeCell ref="B25:E25"/>
    <mergeCell ref="J25:K25"/>
    <mergeCell ref="J26:K26"/>
    <mergeCell ref="J33:K33"/>
    <mergeCell ref="J27:K27"/>
    <mergeCell ref="J14:K14"/>
    <mergeCell ref="J15:K15"/>
    <mergeCell ref="J44:K44"/>
    <mergeCell ref="J42:K42"/>
    <mergeCell ref="E52:I52"/>
    <mergeCell ref="F39:H39"/>
    <mergeCell ref="B35:E35"/>
    <mergeCell ref="F35:H35"/>
    <mergeCell ref="B37:E37"/>
    <mergeCell ref="F34:H34"/>
    <mergeCell ref="B43:E43"/>
    <mergeCell ref="F43:H43"/>
    <mergeCell ref="B47:E47"/>
    <mergeCell ref="F47:H47"/>
    <mergeCell ref="B39:E39"/>
    <mergeCell ref="B48:E48"/>
    <mergeCell ref="B41:E41"/>
    <mergeCell ref="F36:H36"/>
    <mergeCell ref="F40:H40"/>
    <mergeCell ref="F37:H37"/>
    <mergeCell ref="L35:M35"/>
    <mergeCell ref="J32:K32"/>
    <mergeCell ref="J34:K34"/>
    <mergeCell ref="L37:M37"/>
    <mergeCell ref="J24:K24"/>
    <mergeCell ref="L30:M30"/>
    <mergeCell ref="L31:M31"/>
    <mergeCell ref="J19:K19"/>
    <mergeCell ref="J20:K20"/>
    <mergeCell ref="J30:K30"/>
    <mergeCell ref="J31:K31"/>
    <mergeCell ref="L32:M32"/>
    <mergeCell ref="L33:M33"/>
    <mergeCell ref="L23:M23"/>
    <mergeCell ref="L24:M24"/>
    <mergeCell ref="L25:M25"/>
  </mergeCells>
  <conditionalFormatting sqref="B3">
    <cfRule type="expression" dxfId="691" priority="1176">
      <formula>$B3="Paramedic"</formula>
    </cfRule>
    <cfRule type="expression" dxfId="690" priority="1177">
      <formula>$B3="AEMT"</formula>
    </cfRule>
  </conditionalFormatting>
  <conditionalFormatting sqref="B4">
    <cfRule type="expression" dxfId="689" priority="1462">
      <formula>$B$429&lt;&gt;""</formula>
    </cfRule>
  </conditionalFormatting>
  <conditionalFormatting sqref="B13:E17">
    <cfRule type="expression" dxfId="688" priority="1171">
      <formula>$F$11&lt;&gt;""</formula>
    </cfRule>
  </conditionalFormatting>
  <conditionalFormatting sqref="B19:E24">
    <cfRule type="expression" dxfId="687" priority="1170">
      <formula>$F$11&lt;&gt;""</formula>
    </cfRule>
  </conditionalFormatting>
  <conditionalFormatting sqref="B25:E25">
    <cfRule type="expression" dxfId="686" priority="1150">
      <formula>$B$25&lt;&gt;""</formula>
    </cfRule>
  </conditionalFormatting>
  <conditionalFormatting sqref="B26:E26">
    <cfRule type="expression" dxfId="685" priority="1169">
      <formula>$F$11&lt;&gt;""</formula>
    </cfRule>
  </conditionalFormatting>
  <conditionalFormatting sqref="B27:E27">
    <cfRule type="expression" dxfId="684" priority="1149">
      <formula>$B$27&lt;&gt;""</formula>
    </cfRule>
  </conditionalFormatting>
  <conditionalFormatting sqref="B28:E31">
    <cfRule type="expression" dxfId="683" priority="1165">
      <formula>$F$11&lt;&gt;""</formula>
    </cfRule>
  </conditionalFormatting>
  <conditionalFormatting sqref="B32:E32">
    <cfRule type="expression" dxfId="682" priority="1144">
      <formula>$B$32&lt;&gt;""</formula>
    </cfRule>
  </conditionalFormatting>
  <conditionalFormatting sqref="B34:E34">
    <cfRule type="expression" dxfId="681" priority="1164">
      <formula>$F$11&lt;&gt;""</formula>
    </cfRule>
  </conditionalFormatting>
  <conditionalFormatting sqref="B35:E35">
    <cfRule type="expression" dxfId="680" priority="1416">
      <formula>$B$35&lt;&gt;""</formula>
    </cfRule>
  </conditionalFormatting>
  <conditionalFormatting sqref="B36:E36">
    <cfRule type="expression" dxfId="679" priority="4381">
      <formula>$B$465&lt;&gt;""</formula>
    </cfRule>
    <cfRule type="expression" dxfId="678" priority="4380">
      <formula>$F$11&lt;&gt;""</formula>
    </cfRule>
  </conditionalFormatting>
  <conditionalFormatting sqref="B37:E37">
    <cfRule type="expression" dxfId="677" priority="1141">
      <formula>$B$37&lt;&gt;""</formula>
    </cfRule>
  </conditionalFormatting>
  <conditionalFormatting sqref="B38:E38">
    <cfRule type="expression" dxfId="676" priority="4383">
      <formula>$B$467&lt;&gt;""</formula>
    </cfRule>
    <cfRule type="expression" dxfId="675" priority="4382">
      <formula>$F$11&lt;&gt;""</formula>
    </cfRule>
  </conditionalFormatting>
  <conditionalFormatting sqref="B39:E39">
    <cfRule type="expression" dxfId="674" priority="1138">
      <formula>$B$39&lt;&gt;""</formula>
    </cfRule>
  </conditionalFormatting>
  <conditionalFormatting sqref="B40:E40">
    <cfRule type="expression" dxfId="673" priority="1161">
      <formula>$F$11&lt;&gt;""</formula>
    </cfRule>
  </conditionalFormatting>
  <conditionalFormatting sqref="B41:E41">
    <cfRule type="expression" dxfId="672" priority="1117">
      <formula>B41&lt;&gt;""</formula>
    </cfRule>
  </conditionalFormatting>
  <conditionalFormatting sqref="B42:E42">
    <cfRule type="expression" dxfId="671" priority="1159">
      <formula>$F$11&lt;&gt;""</formula>
    </cfRule>
  </conditionalFormatting>
  <conditionalFormatting sqref="B43:E43">
    <cfRule type="expression" dxfId="670" priority="1112">
      <formula>B43&lt;&gt;""</formula>
    </cfRule>
  </conditionalFormatting>
  <conditionalFormatting sqref="B44:E44">
    <cfRule type="expression" dxfId="669" priority="1158">
      <formula>$F$11&lt;&gt;""</formula>
    </cfRule>
  </conditionalFormatting>
  <conditionalFormatting sqref="B45:E45">
    <cfRule type="expression" dxfId="668" priority="1110">
      <formula>B45&lt;&gt;""</formula>
    </cfRule>
  </conditionalFormatting>
  <conditionalFormatting sqref="B46:E46">
    <cfRule type="expression" dxfId="667" priority="1157">
      <formula>$F$11&lt;&gt;""</formula>
    </cfRule>
  </conditionalFormatting>
  <conditionalFormatting sqref="B47:E47">
    <cfRule type="expression" dxfId="666" priority="1108">
      <formula>B47&lt;&gt;""</formula>
    </cfRule>
  </conditionalFormatting>
  <conditionalFormatting sqref="B48:E48">
    <cfRule type="expression" dxfId="665" priority="1156">
      <formula>$F$11&lt;&gt;""</formula>
    </cfRule>
  </conditionalFormatting>
  <conditionalFormatting sqref="B49:E49">
    <cfRule type="expression" dxfId="664" priority="1106">
      <formula>B49&lt;&gt;""</formula>
    </cfRule>
  </conditionalFormatting>
  <conditionalFormatting sqref="B57:E61">
    <cfRule type="expression" dxfId="663" priority="312">
      <formula>B57&lt;&gt;""</formula>
    </cfRule>
  </conditionalFormatting>
  <conditionalFormatting sqref="B63:E68">
    <cfRule type="expression" dxfId="662" priority="392">
      <formula>B57&lt;&gt;""</formula>
    </cfRule>
  </conditionalFormatting>
  <conditionalFormatting sqref="B68:E68">
    <cfRule type="expression" dxfId="661" priority="310">
      <formula>B57&lt;&gt;""</formula>
    </cfRule>
  </conditionalFormatting>
  <conditionalFormatting sqref="B69:E69">
    <cfRule type="expression" dxfId="660" priority="376">
      <formula>B69&lt;&gt;""</formula>
    </cfRule>
  </conditionalFormatting>
  <conditionalFormatting sqref="B70:E70">
    <cfRule type="expression" dxfId="659" priority="391">
      <formula>B57&lt;&gt;""</formula>
    </cfRule>
  </conditionalFormatting>
  <conditionalFormatting sqref="B71:E71">
    <cfRule type="expression" dxfId="658" priority="375">
      <formula>B71&lt;&gt;""</formula>
    </cfRule>
  </conditionalFormatting>
  <conditionalFormatting sqref="B72:E72">
    <cfRule type="expression" dxfId="657" priority="390">
      <formula>B57&lt;&gt;""</formula>
    </cfRule>
  </conditionalFormatting>
  <conditionalFormatting sqref="B73:E73">
    <cfRule type="expression" dxfId="656" priority="389">
      <formula>B57&lt;&gt;""</formula>
    </cfRule>
  </conditionalFormatting>
  <conditionalFormatting sqref="B74:E74">
    <cfRule type="expression" dxfId="655" priority="388">
      <formula>B57&lt;&gt;""</formula>
    </cfRule>
  </conditionalFormatting>
  <conditionalFormatting sqref="B75:E75">
    <cfRule type="expression" dxfId="654" priority="387">
      <formula>B57&lt;&gt;""</formula>
    </cfRule>
  </conditionalFormatting>
  <conditionalFormatting sqref="B76:E76">
    <cfRule type="expression" dxfId="653" priority="371">
      <formula>B76&lt;&gt;""</formula>
    </cfRule>
  </conditionalFormatting>
  <conditionalFormatting sqref="B78:E78">
    <cfRule type="expression" dxfId="652" priority="97">
      <formula>$B$78&lt;&gt;""</formula>
    </cfRule>
  </conditionalFormatting>
  <conditionalFormatting sqref="B79:E83">
    <cfRule type="expression" dxfId="651" priority="369">
      <formula>$B79&lt;&gt;""</formula>
    </cfRule>
  </conditionalFormatting>
  <conditionalFormatting sqref="B84:E85">
    <cfRule type="expression" dxfId="650" priority="366">
      <formula>B84&lt;&gt;""</formula>
    </cfRule>
  </conditionalFormatting>
  <conditionalFormatting sqref="B86:E86">
    <cfRule type="expression" dxfId="649" priority="383">
      <formula>$B86&lt;&gt;""</formula>
    </cfRule>
  </conditionalFormatting>
  <conditionalFormatting sqref="B87:E93">
    <cfRule type="expression" dxfId="648" priority="358">
      <formula>B87&lt;&gt;""</formula>
    </cfRule>
  </conditionalFormatting>
  <conditionalFormatting sqref="B101:E105">
    <cfRule type="expression" dxfId="647" priority="102">
      <formula>B101&lt;&gt;""</formula>
    </cfRule>
  </conditionalFormatting>
  <conditionalFormatting sqref="B107:E112">
    <cfRule type="expression" dxfId="646" priority="180">
      <formula>B101&lt;&gt;""</formula>
    </cfRule>
  </conditionalFormatting>
  <conditionalFormatting sqref="B112:E112">
    <cfRule type="expression" dxfId="645" priority="100">
      <formula>B101&lt;&gt;""</formula>
    </cfRule>
  </conditionalFormatting>
  <conditionalFormatting sqref="B113:E113">
    <cfRule type="expression" dxfId="644" priority="164">
      <formula>B113&lt;&gt;""</formula>
    </cfRule>
  </conditionalFormatting>
  <conditionalFormatting sqref="B114:E114">
    <cfRule type="expression" dxfId="643" priority="179">
      <formula>B101&lt;&gt;""</formula>
    </cfRule>
  </conditionalFormatting>
  <conditionalFormatting sqref="B115:E115">
    <cfRule type="expression" dxfId="642" priority="163">
      <formula>B115&lt;&gt;""</formula>
    </cfRule>
  </conditionalFormatting>
  <conditionalFormatting sqref="B116:E116">
    <cfRule type="expression" dxfId="641" priority="178">
      <formula>B101&lt;&gt;""</formula>
    </cfRule>
  </conditionalFormatting>
  <conditionalFormatting sqref="B117:E117">
    <cfRule type="expression" dxfId="640" priority="177">
      <formula>B101&lt;&gt;""</formula>
    </cfRule>
  </conditionalFormatting>
  <conditionalFormatting sqref="B118:E118">
    <cfRule type="expression" dxfId="639" priority="176">
      <formula>B101&lt;&gt;""</formula>
    </cfRule>
  </conditionalFormatting>
  <conditionalFormatting sqref="B119:E119">
    <cfRule type="expression" dxfId="638" priority="175">
      <formula>B101&lt;&gt;""</formula>
    </cfRule>
  </conditionalFormatting>
  <conditionalFormatting sqref="B120:E120">
    <cfRule type="expression" dxfId="637" priority="159">
      <formula>B120&lt;&gt;""</formula>
    </cfRule>
  </conditionalFormatting>
  <conditionalFormatting sqref="B121:E121">
    <cfRule type="expression" dxfId="636" priority="302">
      <formula>B121&lt;&gt;""</formula>
    </cfRule>
  </conditionalFormatting>
  <conditionalFormatting sqref="B122:E127">
    <cfRule type="expression" dxfId="635" priority="157">
      <formula>$B122&lt;&gt;""</formula>
    </cfRule>
  </conditionalFormatting>
  <conditionalFormatting sqref="B128:E129">
    <cfRule type="expression" dxfId="634" priority="155">
      <formula>B128&lt;&gt;""</formula>
    </cfRule>
  </conditionalFormatting>
  <conditionalFormatting sqref="B130:E130">
    <cfRule type="expression" dxfId="633" priority="171">
      <formula>$B130&lt;&gt;""</formula>
    </cfRule>
  </conditionalFormatting>
  <conditionalFormatting sqref="B131:E131">
    <cfRule type="expression" dxfId="632" priority="152">
      <formula>B131&lt;&gt;""</formula>
    </cfRule>
  </conditionalFormatting>
  <conditionalFormatting sqref="B132:E132">
    <cfRule type="expression" dxfId="631" priority="170">
      <formula>$B132&lt;&gt;""</formula>
    </cfRule>
  </conditionalFormatting>
  <conditionalFormatting sqref="B133:E133">
    <cfRule type="expression" dxfId="630" priority="150">
      <formula>B133&lt;&gt;""</formula>
    </cfRule>
  </conditionalFormatting>
  <conditionalFormatting sqref="B134:E134">
    <cfRule type="expression" dxfId="629" priority="169">
      <formula>$B134&lt;&gt;""</formula>
    </cfRule>
  </conditionalFormatting>
  <conditionalFormatting sqref="B135:E135">
    <cfRule type="expression" dxfId="628" priority="148">
      <formula>B135&lt;&gt;""</formula>
    </cfRule>
  </conditionalFormatting>
  <conditionalFormatting sqref="B136:E136">
    <cfRule type="expression" dxfId="627" priority="168">
      <formula>$B136&lt;&gt;""</formula>
    </cfRule>
  </conditionalFormatting>
  <conditionalFormatting sqref="B137:E137">
    <cfRule type="expression" dxfId="626" priority="146">
      <formula>B137&lt;&gt;""</formula>
    </cfRule>
  </conditionalFormatting>
  <conditionalFormatting sqref="B8:G8">
    <cfRule type="expression" dxfId="625" priority="1179">
      <formula>$B$8&lt;&gt;""</formula>
    </cfRule>
  </conditionalFormatting>
  <conditionalFormatting sqref="B2:L2">
    <cfRule type="expression" dxfId="624" priority="1463">
      <formula>$B$429&lt;&gt;""</formula>
    </cfRule>
  </conditionalFormatting>
  <conditionalFormatting sqref="C11:E11">
    <cfRule type="expression" dxfId="623" priority="1189">
      <formula>G10&lt;&gt;""</formula>
    </cfRule>
  </conditionalFormatting>
  <conditionalFormatting sqref="C55:E55">
    <cfRule type="expression" dxfId="622" priority="396">
      <formula>G54&lt;&gt;""</formula>
    </cfRule>
  </conditionalFormatting>
  <conditionalFormatting sqref="C99:E99">
    <cfRule type="expression" dxfId="621" priority="182">
      <formula>G98&lt;&gt;""</formula>
    </cfRule>
  </conditionalFormatting>
  <conditionalFormatting sqref="E52:I52">
    <cfRule type="expression" dxfId="620" priority="1461">
      <formula>$E$52&lt;&gt;""</formula>
    </cfRule>
  </conditionalFormatting>
  <conditionalFormatting sqref="E96:I96">
    <cfRule type="expression" dxfId="619" priority="309">
      <formula>$E$96&lt;&gt;""</formula>
    </cfRule>
  </conditionalFormatting>
  <conditionalFormatting sqref="E140:I140">
    <cfRule type="expression" dxfId="618" priority="99">
      <formula>$E$140&lt;&gt;""</formula>
    </cfRule>
  </conditionalFormatting>
  <conditionalFormatting sqref="F12:H12">
    <cfRule type="expression" dxfId="617" priority="1075">
      <formula>F12&lt;&gt;""</formula>
    </cfRule>
  </conditionalFormatting>
  <conditionalFormatting sqref="F15:H15">
    <cfRule type="expression" dxfId="616" priority="94">
      <formula>$F$12&lt;&gt;""</formula>
    </cfRule>
  </conditionalFormatting>
  <conditionalFormatting sqref="F18:H18">
    <cfRule type="expression" dxfId="615" priority="1174">
      <formula>$F$18&lt;&gt;""</formula>
    </cfRule>
  </conditionalFormatting>
  <conditionalFormatting sqref="F26:H26">
    <cfRule type="expression" dxfId="614" priority="1370">
      <formula>F26="Not Met"</formula>
    </cfRule>
    <cfRule type="expression" dxfId="613" priority="1369">
      <formula>F26="Met"</formula>
    </cfRule>
  </conditionalFormatting>
  <conditionalFormatting sqref="F27:H27">
    <cfRule type="expression" dxfId="612" priority="1378">
      <formula>F26="Not Met"</formula>
    </cfRule>
  </conditionalFormatting>
  <conditionalFormatting sqref="F28:H29">
    <cfRule type="expression" dxfId="611" priority="1366">
      <formula>F28="No"</formula>
    </cfRule>
    <cfRule type="expression" dxfId="610" priority="1365">
      <formula>F28="Yes"</formula>
    </cfRule>
  </conditionalFormatting>
  <conditionalFormatting sqref="F31:H31">
    <cfRule type="expression" dxfId="609" priority="1362">
      <formula>F31="Not Met"</formula>
    </cfRule>
    <cfRule type="expression" dxfId="608" priority="1361">
      <formula>F31="Met"</formula>
    </cfRule>
  </conditionalFormatting>
  <conditionalFormatting sqref="F34:H34">
    <cfRule type="expression" dxfId="607" priority="1360">
      <formula>F34="Not Met"</formula>
    </cfRule>
    <cfRule type="expression" dxfId="606" priority="1359">
      <formula>F34="Met"</formula>
    </cfRule>
  </conditionalFormatting>
  <conditionalFormatting sqref="F35:H35">
    <cfRule type="expression" dxfId="605" priority="1414">
      <formula>$F$34="Not Met"</formula>
    </cfRule>
    <cfRule type="expression" dxfId="604" priority="1399">
      <formula>$F$35&lt;&gt;""</formula>
    </cfRule>
  </conditionalFormatting>
  <conditionalFormatting sqref="F36:H36">
    <cfRule type="expression" dxfId="603" priority="1357">
      <formula>F36="Met"</formula>
    </cfRule>
    <cfRule type="expression" dxfId="602" priority="1358">
      <formula>F36="Not Met"</formula>
    </cfRule>
  </conditionalFormatting>
  <conditionalFormatting sqref="F36:H39">
    <cfRule type="expression" dxfId="601" priority="1137">
      <formula>F12&lt;&gt;""</formula>
    </cfRule>
  </conditionalFormatting>
  <conditionalFormatting sqref="F37:H37">
    <cfRule type="expression" dxfId="600" priority="1400">
      <formula>$F$37&lt;&gt;""</formula>
    </cfRule>
    <cfRule type="expression" dxfId="599" priority="1413">
      <formula>$F$36="Not Met"</formula>
    </cfRule>
  </conditionalFormatting>
  <conditionalFormatting sqref="F38:H38">
    <cfRule type="expression" dxfId="598" priority="1356">
      <formula>F38="Not Met"</formula>
    </cfRule>
    <cfRule type="expression" dxfId="597" priority="1355">
      <formula>F38="Met"</formula>
    </cfRule>
  </conditionalFormatting>
  <conditionalFormatting sqref="F39:H39">
    <cfRule type="expression" dxfId="596" priority="1401">
      <formula>$F$39&lt;&gt;""</formula>
    </cfRule>
    <cfRule type="expression" dxfId="595" priority="1417">
      <formula>$F$38="Not Met"</formula>
    </cfRule>
  </conditionalFormatting>
  <conditionalFormatting sqref="F40:H40">
    <cfRule type="expression" dxfId="594" priority="1354">
      <formula>F40="Not Met"</formula>
    </cfRule>
    <cfRule type="expression" dxfId="593" priority="1353">
      <formula>F40="Met"</formula>
    </cfRule>
  </conditionalFormatting>
  <conditionalFormatting sqref="F41:H41">
    <cfRule type="expression" dxfId="592" priority="1411">
      <formula>F40="Not Met"</formula>
    </cfRule>
  </conditionalFormatting>
  <conditionalFormatting sqref="F42:H42">
    <cfRule type="expression" dxfId="591" priority="1350">
      <formula>F42="Not Met"</formula>
    </cfRule>
    <cfRule type="expression" dxfId="590" priority="1349">
      <formula>F42="Met"</formula>
    </cfRule>
    <cfRule type="expression" dxfId="589" priority="1113">
      <formula>F11&lt;&gt;""</formula>
    </cfRule>
  </conditionalFormatting>
  <conditionalFormatting sqref="F43:H43">
    <cfRule type="expression" dxfId="588" priority="1408">
      <formula>F42="Not Met"</formula>
    </cfRule>
  </conditionalFormatting>
  <conditionalFormatting sqref="F44:H44">
    <cfRule type="expression" dxfId="587" priority="1348">
      <formula>F44="Not Met"</formula>
    </cfRule>
    <cfRule type="expression" dxfId="586" priority="1347">
      <formula>F44="Met"</formula>
    </cfRule>
    <cfRule type="expression" dxfId="585" priority="1111">
      <formula>F11&lt;&gt;""</formula>
    </cfRule>
  </conditionalFormatting>
  <conditionalFormatting sqref="F45:H45">
    <cfRule type="expression" dxfId="584" priority="1409">
      <formula>F44="Not Met"</formula>
    </cfRule>
  </conditionalFormatting>
  <conditionalFormatting sqref="F46:H46">
    <cfRule type="expression" dxfId="583" priority="1109">
      <formula>F11&lt;&gt;""</formula>
    </cfRule>
    <cfRule type="expression" dxfId="582" priority="1346">
      <formula>F46="Not Met"</formula>
    </cfRule>
    <cfRule type="expression" dxfId="581" priority="1345">
      <formula>F46="Met"</formula>
    </cfRule>
  </conditionalFormatting>
  <conditionalFormatting sqref="F47:H47">
    <cfRule type="expression" dxfId="580" priority="1421">
      <formula>F46="Not Met"</formula>
    </cfRule>
  </conditionalFormatting>
  <conditionalFormatting sqref="F48:H48">
    <cfRule type="expression" dxfId="579" priority="1343">
      <formula>F48="Met"</formula>
    </cfRule>
    <cfRule type="expression" dxfId="578" priority="1107">
      <formula>F11&lt;&gt;""</formula>
    </cfRule>
    <cfRule type="expression" dxfId="577" priority="1344">
      <formula>F48="Not Met"</formula>
    </cfRule>
  </conditionalFormatting>
  <conditionalFormatting sqref="F49:H49">
    <cfRule type="expression" dxfId="576" priority="1419">
      <formula>F48="Not Met"</formula>
    </cfRule>
  </conditionalFormatting>
  <conditionalFormatting sqref="F55:H55">
    <cfRule type="expression" dxfId="575" priority="523">
      <formula>$F55&lt;&gt;""</formula>
    </cfRule>
  </conditionalFormatting>
  <conditionalFormatting sqref="F56:H56">
    <cfRule type="expression" dxfId="574" priority="356">
      <formula>F56&lt;&gt;""</formula>
    </cfRule>
  </conditionalFormatting>
  <conditionalFormatting sqref="F62:H62">
    <cfRule type="expression" dxfId="573" priority="394">
      <formula>F62&lt;&gt;""</formula>
    </cfRule>
  </conditionalFormatting>
  <conditionalFormatting sqref="F65:H68">
    <cfRule type="expression" dxfId="572" priority="401">
      <formula>F65="Not Met"</formula>
    </cfRule>
  </conditionalFormatting>
  <conditionalFormatting sqref="F70:H70">
    <cfRule type="expression" dxfId="571" priority="484">
      <formula>F70="Not Met"</formula>
    </cfRule>
    <cfRule type="expression" dxfId="570" priority="483">
      <formula>F70="Met"</formula>
    </cfRule>
  </conditionalFormatting>
  <conditionalFormatting sqref="F71:H71">
    <cfRule type="expression" dxfId="569" priority="491">
      <formula>F70="Not Met"</formula>
    </cfRule>
  </conditionalFormatting>
  <conditionalFormatting sqref="F72:H74">
    <cfRule type="expression" dxfId="568" priority="478">
      <formula>F72="No"</formula>
    </cfRule>
    <cfRule type="expression" dxfId="567" priority="477">
      <formula>F72="Yes"</formula>
    </cfRule>
  </conditionalFormatting>
  <conditionalFormatting sqref="F75:H75">
    <cfRule type="expression" dxfId="566" priority="475">
      <formula>F75="Met"</formula>
    </cfRule>
    <cfRule type="expression" dxfId="565" priority="476">
      <formula>F75="Not Met"</formula>
    </cfRule>
  </conditionalFormatting>
  <conditionalFormatting sqref="F78:H78">
    <cfRule type="expression" dxfId="564" priority="474">
      <formula>F78="Not Met"</formula>
    </cfRule>
    <cfRule type="expression" dxfId="563" priority="473">
      <formula>F78="Met"</formula>
    </cfRule>
  </conditionalFormatting>
  <conditionalFormatting sqref="F79:H79">
    <cfRule type="expression" dxfId="562" priority="510">
      <formula>$F$78="Not Met"</formula>
    </cfRule>
    <cfRule type="expression" dxfId="561" priority="501">
      <formula>$F79&lt;&gt;""</formula>
    </cfRule>
  </conditionalFormatting>
  <conditionalFormatting sqref="F80:H80">
    <cfRule type="expression" dxfId="560" priority="95">
      <formula>$B$80&lt;&gt;""</formula>
    </cfRule>
    <cfRule type="expression" dxfId="559" priority="472">
      <formula>F80="Not Met"</formula>
    </cfRule>
    <cfRule type="expression" dxfId="558" priority="471">
      <formula>F80="Met"</formula>
    </cfRule>
  </conditionalFormatting>
  <conditionalFormatting sqref="F81:H81">
    <cfRule type="expression" dxfId="557" priority="509">
      <formula>$F80="Not Met"</formula>
    </cfRule>
    <cfRule type="expression" dxfId="556" priority="502">
      <formula>$F81&lt;&gt;""</formula>
    </cfRule>
  </conditionalFormatting>
  <conditionalFormatting sqref="F82:H82">
    <cfRule type="expression" dxfId="555" priority="96">
      <formula>$B$82&lt;&gt;""</formula>
    </cfRule>
    <cfRule type="expression" dxfId="554" priority="469">
      <formula>F82="Met"</formula>
    </cfRule>
    <cfRule type="expression" dxfId="553" priority="470">
      <formula>F82="Not Met"</formula>
    </cfRule>
  </conditionalFormatting>
  <conditionalFormatting sqref="F83:H83">
    <cfRule type="expression" dxfId="552" priority="503">
      <formula>$F83&lt;&gt;""</formula>
    </cfRule>
    <cfRule type="expression" dxfId="551" priority="512">
      <formula>$F82="Not Met"</formula>
    </cfRule>
  </conditionalFormatting>
  <conditionalFormatting sqref="F84:H84">
    <cfRule type="expression" dxfId="550" priority="467">
      <formula>F84="Met"</formula>
    </cfRule>
    <cfRule type="expression" dxfId="549" priority="468">
      <formula>F84="Not Met"</formula>
    </cfRule>
  </conditionalFormatting>
  <conditionalFormatting sqref="F85:H85">
    <cfRule type="expression" dxfId="548" priority="507">
      <formula>F84="Not Met"</formula>
    </cfRule>
  </conditionalFormatting>
  <conditionalFormatting sqref="F86:H86">
    <cfRule type="expression" dxfId="547" priority="365">
      <formula>F55&lt;&gt;""</formula>
    </cfRule>
    <cfRule type="expression" dxfId="546" priority="463">
      <formula>F86="Met"</formula>
    </cfRule>
    <cfRule type="expression" dxfId="545" priority="464">
      <formula>F86="Not Met"</formula>
    </cfRule>
  </conditionalFormatting>
  <conditionalFormatting sqref="F87:H87">
    <cfRule type="expression" dxfId="544" priority="504">
      <formula>F86="Not Met"</formula>
    </cfRule>
  </conditionalFormatting>
  <conditionalFormatting sqref="F88:H88">
    <cfRule type="expression" dxfId="543" priority="461">
      <formula>F88="Met"</formula>
    </cfRule>
    <cfRule type="expression" dxfId="542" priority="462">
      <formula>F88="Not Met"</formula>
    </cfRule>
    <cfRule type="expression" dxfId="541" priority="363">
      <formula>F55&lt;&gt;""</formula>
    </cfRule>
  </conditionalFormatting>
  <conditionalFormatting sqref="F89:H89">
    <cfRule type="expression" dxfId="540" priority="505">
      <formula>F88="Not Met"</formula>
    </cfRule>
  </conditionalFormatting>
  <conditionalFormatting sqref="F90:H90">
    <cfRule type="expression" dxfId="539" priority="361">
      <formula>F55&lt;&gt;""</formula>
    </cfRule>
    <cfRule type="expression" dxfId="538" priority="459">
      <formula>F90="Met"</formula>
    </cfRule>
    <cfRule type="expression" dxfId="537" priority="460">
      <formula>F90="Not Met"</formula>
    </cfRule>
  </conditionalFormatting>
  <conditionalFormatting sqref="F91:H91">
    <cfRule type="expression" dxfId="536" priority="514">
      <formula>F90="Not Met"</formula>
    </cfRule>
  </conditionalFormatting>
  <conditionalFormatting sqref="F92:H92">
    <cfRule type="expression" dxfId="535" priority="359">
      <formula>F55&lt;&gt;""</formula>
    </cfRule>
    <cfRule type="expression" dxfId="534" priority="457">
      <formula>F92="Met"</formula>
    </cfRule>
    <cfRule type="expression" dxfId="533" priority="458">
      <formula>F92="Not Met"</formula>
    </cfRule>
  </conditionalFormatting>
  <conditionalFormatting sqref="F93:H93">
    <cfRule type="expression" dxfId="532" priority="513">
      <formula>F92="Not Met"</formula>
    </cfRule>
  </conditionalFormatting>
  <conditionalFormatting sqref="F99:H99">
    <cfRule type="expression" dxfId="531" priority="307">
      <formula>$F99&lt;&gt;""</formula>
    </cfRule>
  </conditionalFormatting>
  <conditionalFormatting sqref="F100:H100">
    <cfRule type="expression" dxfId="530" priority="144">
      <formula>F100&lt;&gt;""</formula>
    </cfRule>
  </conditionalFormatting>
  <conditionalFormatting sqref="F106:H106">
    <cfRule type="expression" dxfId="529" priority="181">
      <formula>F106&lt;&gt;""</formula>
    </cfRule>
  </conditionalFormatting>
  <conditionalFormatting sqref="F109:H112">
    <cfRule type="expression" dxfId="528" priority="187">
      <formula>F109="Not Met"</formula>
    </cfRule>
  </conditionalFormatting>
  <conditionalFormatting sqref="F114:H114">
    <cfRule type="expression" dxfId="527" priority="269">
      <formula>F114="Met"</formula>
    </cfRule>
    <cfRule type="expression" dxfId="526" priority="270">
      <formula>F114="Not Met"</formula>
    </cfRule>
  </conditionalFormatting>
  <conditionalFormatting sqref="F115:H115">
    <cfRule type="expression" dxfId="525" priority="277">
      <formula>F114="Not Met"</formula>
    </cfRule>
  </conditionalFormatting>
  <conditionalFormatting sqref="F116:H118">
    <cfRule type="expression" dxfId="524" priority="264">
      <formula>F116="No"</formula>
    </cfRule>
    <cfRule type="expression" dxfId="523" priority="263">
      <formula>F116="Yes"</formula>
    </cfRule>
  </conditionalFormatting>
  <conditionalFormatting sqref="F119:H119">
    <cfRule type="expression" dxfId="522" priority="262">
      <formula>F119="Not Met"</formula>
    </cfRule>
    <cfRule type="expression" dxfId="521" priority="261">
      <formula>F119="Met"</formula>
    </cfRule>
  </conditionalFormatting>
  <conditionalFormatting sqref="F122:H122">
    <cfRule type="expression" dxfId="520" priority="260">
      <formula>F122="Not Met"</formula>
    </cfRule>
    <cfRule type="expression" dxfId="519" priority="259">
      <formula>F122="Met"</formula>
    </cfRule>
  </conditionalFormatting>
  <conditionalFormatting sqref="F123:H123">
    <cfRule type="expression" dxfId="518" priority="296">
      <formula>$F122="Not Met"</formula>
    </cfRule>
    <cfRule type="expression" dxfId="517" priority="287">
      <formula>$F123&lt;&gt;""</formula>
    </cfRule>
  </conditionalFormatting>
  <conditionalFormatting sqref="F124:H124">
    <cfRule type="expression" dxfId="516" priority="257">
      <formula>F124="Met"</formula>
    </cfRule>
    <cfRule type="expression" dxfId="515" priority="258">
      <formula>F124="Not Met"</formula>
    </cfRule>
  </conditionalFormatting>
  <conditionalFormatting sqref="F125:H125">
    <cfRule type="expression" dxfId="514" priority="295">
      <formula>$F124="Not Met"</formula>
    </cfRule>
    <cfRule type="expression" dxfId="513" priority="288">
      <formula>$F$125&lt;&gt;""</formula>
    </cfRule>
  </conditionalFormatting>
  <conditionalFormatting sqref="F126:H126">
    <cfRule type="expression" dxfId="512" priority="256">
      <formula>F126="Not Met"</formula>
    </cfRule>
    <cfRule type="expression" dxfId="511" priority="255">
      <formula>F126="Met"</formula>
    </cfRule>
  </conditionalFormatting>
  <conditionalFormatting sqref="F127:H127">
    <cfRule type="expression" dxfId="510" priority="289">
      <formula>$F$127&lt;&gt;""</formula>
    </cfRule>
    <cfRule type="expression" dxfId="509" priority="298">
      <formula>$F$126="Not Met"</formula>
    </cfRule>
  </conditionalFormatting>
  <conditionalFormatting sqref="F128:H128">
    <cfRule type="expression" dxfId="508" priority="254">
      <formula>F128="Not Met"</formula>
    </cfRule>
    <cfRule type="expression" dxfId="507" priority="253">
      <formula>F128="Met"</formula>
    </cfRule>
  </conditionalFormatting>
  <conditionalFormatting sqref="F129:H129">
    <cfRule type="expression" dxfId="506" priority="293">
      <formula>F128="Not Met"</formula>
    </cfRule>
  </conditionalFormatting>
  <conditionalFormatting sqref="F130:H130">
    <cfRule type="expression" dxfId="505" priority="250">
      <formula>F130="Not Met"</formula>
    </cfRule>
    <cfRule type="expression" dxfId="504" priority="249">
      <formula>F130="Met"</formula>
    </cfRule>
    <cfRule type="expression" dxfId="503" priority="153">
      <formula>F99&lt;&gt;""</formula>
    </cfRule>
  </conditionalFormatting>
  <conditionalFormatting sqref="F131:H131">
    <cfRule type="expression" dxfId="502" priority="290">
      <formula>F130="Not Met"</formula>
    </cfRule>
  </conditionalFormatting>
  <conditionalFormatting sqref="F132:H132">
    <cfRule type="expression" dxfId="501" priority="248">
      <formula>F132="Not Met"</formula>
    </cfRule>
    <cfRule type="expression" dxfId="500" priority="247">
      <formula>F132="Met"</formula>
    </cfRule>
    <cfRule type="expression" dxfId="499" priority="151">
      <formula>F99&lt;&gt;""</formula>
    </cfRule>
  </conditionalFormatting>
  <conditionalFormatting sqref="F133:H133">
    <cfRule type="expression" dxfId="498" priority="291">
      <formula>F132="Not Met"</formula>
    </cfRule>
  </conditionalFormatting>
  <conditionalFormatting sqref="F134:H134">
    <cfRule type="expression" dxfId="497" priority="246">
      <formula>F134="Not Met"</formula>
    </cfRule>
    <cfRule type="expression" dxfId="496" priority="149">
      <formula>F99&lt;&gt;""</formula>
    </cfRule>
    <cfRule type="expression" dxfId="495" priority="245">
      <formula>F134="Met"</formula>
    </cfRule>
  </conditionalFormatting>
  <conditionalFormatting sqref="F135:H135">
    <cfRule type="expression" dxfId="494" priority="300">
      <formula>F134="Not Met"</formula>
    </cfRule>
  </conditionalFormatting>
  <conditionalFormatting sqref="F136:H136">
    <cfRule type="expression" dxfId="493" priority="243">
      <formula>F136="Met"</formula>
    </cfRule>
    <cfRule type="expression" dxfId="492" priority="147">
      <formula>F99&lt;&gt;""</formula>
    </cfRule>
    <cfRule type="expression" dxfId="491" priority="244">
      <formula>F136="Not Met"</formula>
    </cfRule>
  </conditionalFormatting>
  <conditionalFormatting sqref="F137:H137">
    <cfRule type="expression" dxfId="490" priority="299">
      <formula>F136="Not Met"</formula>
    </cfRule>
  </conditionalFormatting>
  <conditionalFormatting sqref="F30:I30">
    <cfRule type="expression" dxfId="489" priority="59">
      <formula>F30="Yes"</formula>
    </cfRule>
  </conditionalFormatting>
  <conditionalFormatting sqref="F30:J30">
    <cfRule type="expression" dxfId="488" priority="60">
      <formula>F30="No"</formula>
    </cfRule>
  </conditionalFormatting>
  <conditionalFormatting sqref="F11:M11">
    <cfRule type="expression" dxfId="487" priority="1175">
      <formula>$F11&lt;&gt;""</formula>
    </cfRule>
  </conditionalFormatting>
  <conditionalFormatting sqref="F13:M13">
    <cfRule type="expression" dxfId="486" priority="1029">
      <formula>F12&lt;&gt;""</formula>
    </cfRule>
  </conditionalFormatting>
  <conditionalFormatting sqref="F14:M14">
    <cfRule type="expression" dxfId="485" priority="1028">
      <formula>F12&lt;&gt;""</formula>
    </cfRule>
  </conditionalFormatting>
  <conditionalFormatting sqref="F16:M16">
    <cfRule type="expression" dxfId="484" priority="1026">
      <formula>F12&lt;&gt;""</formula>
    </cfRule>
  </conditionalFormatting>
  <conditionalFormatting sqref="F17:M17">
    <cfRule type="expression" dxfId="483" priority="1025">
      <formula>F12&lt;&gt;""</formula>
    </cfRule>
  </conditionalFormatting>
  <conditionalFormatting sqref="F19:M19">
    <cfRule type="expression" dxfId="482" priority="1023">
      <formula>F12&lt;&gt;""</formula>
    </cfRule>
  </conditionalFormatting>
  <conditionalFormatting sqref="F20:M20">
    <cfRule type="expression" dxfId="481" priority="1022">
      <formula>F12&lt;&gt;""</formula>
    </cfRule>
  </conditionalFormatting>
  <conditionalFormatting sqref="F21:M21">
    <cfRule type="expression" dxfId="480" priority="1021">
      <formula>F12&lt;&gt;""</formula>
    </cfRule>
  </conditionalFormatting>
  <conditionalFormatting sqref="F22:M22">
    <cfRule type="expression" dxfId="479" priority="1020">
      <formula>F12&lt;&gt;""</formula>
    </cfRule>
  </conditionalFormatting>
  <conditionalFormatting sqref="F23:M23">
    <cfRule type="expression" dxfId="478" priority="1019">
      <formula>F12&lt;&gt;""</formula>
    </cfRule>
  </conditionalFormatting>
  <conditionalFormatting sqref="F24:M24">
    <cfRule type="expression" dxfId="477" priority="1018">
      <formula>F12&lt;&gt;""</formula>
    </cfRule>
  </conditionalFormatting>
  <conditionalFormatting sqref="F25:M25 O25:R25 T25:W25 O32:R32 T32:W32">
    <cfRule type="expression" dxfId="476" priority="1382">
      <formula>F24="Not Met"</formula>
    </cfRule>
    <cfRule type="expression" dxfId="475" priority="1381">
      <formula>F25&lt;&gt;""</formula>
    </cfRule>
  </conditionalFormatting>
  <conditionalFormatting sqref="F26:M26">
    <cfRule type="expression" dxfId="474" priority="1016">
      <formula>F12&lt;&gt;""</formula>
    </cfRule>
  </conditionalFormatting>
  <conditionalFormatting sqref="F27:M27 O27:R27 T27:W27">
    <cfRule type="expression" dxfId="473" priority="1269">
      <formula>F27&lt;&gt;""</formula>
    </cfRule>
  </conditionalFormatting>
  <conditionalFormatting sqref="F28:M28">
    <cfRule type="expression" dxfId="472" priority="1014">
      <formula>F12&lt;&gt;""</formula>
    </cfRule>
  </conditionalFormatting>
  <conditionalFormatting sqref="F29:M29">
    <cfRule type="expression" dxfId="471" priority="1012">
      <formula>F12&lt;&gt;""</formula>
    </cfRule>
  </conditionalFormatting>
  <conditionalFormatting sqref="F30:M30">
    <cfRule type="expression" dxfId="470" priority="1010">
      <formula>F12&lt;&gt;""</formula>
    </cfRule>
  </conditionalFormatting>
  <conditionalFormatting sqref="F31:M31">
    <cfRule type="expression" dxfId="469" priority="1008">
      <formula>F12&lt;&gt;""</formula>
    </cfRule>
  </conditionalFormatting>
  <conditionalFormatting sqref="F32:M32">
    <cfRule type="expression" dxfId="468" priority="1249">
      <formula>F32&lt;&gt;""</formula>
    </cfRule>
    <cfRule type="expression" dxfId="467" priority="1250">
      <formula>F31="Not Met"</formula>
    </cfRule>
  </conditionalFormatting>
  <conditionalFormatting sqref="F34:M34">
    <cfRule type="expression" dxfId="466" priority="1006">
      <formula>F12&lt;&gt;""</formula>
    </cfRule>
  </conditionalFormatting>
  <conditionalFormatting sqref="F38:M38">
    <cfRule type="expression" dxfId="465" priority="98">
      <formula>F12&lt;&gt;""</formula>
    </cfRule>
  </conditionalFormatting>
  <conditionalFormatting sqref="F40:M40">
    <cfRule type="expression" dxfId="464" priority="1000">
      <formula>F12&lt;&gt;""</formula>
    </cfRule>
  </conditionalFormatting>
  <conditionalFormatting sqref="F57:M57">
    <cfRule type="expression" dxfId="463" priority="354">
      <formula>F56&lt;&gt;""</formula>
    </cfRule>
  </conditionalFormatting>
  <conditionalFormatting sqref="F58:M58">
    <cfRule type="expression" dxfId="462" priority="353">
      <formula>F56&lt;&gt;""</formula>
    </cfRule>
  </conditionalFormatting>
  <conditionalFormatting sqref="F59:M59">
    <cfRule type="expression" dxfId="461" priority="311">
      <formula>F56&lt;&gt;""</formula>
    </cfRule>
  </conditionalFormatting>
  <conditionalFormatting sqref="F60:M60">
    <cfRule type="expression" dxfId="460" priority="351">
      <formula>F56&lt;&gt;""</formula>
    </cfRule>
  </conditionalFormatting>
  <conditionalFormatting sqref="F61:M61">
    <cfRule type="expression" dxfId="459" priority="350">
      <formula>F56&lt;&gt;""</formula>
    </cfRule>
  </conditionalFormatting>
  <conditionalFormatting sqref="F63:M63">
    <cfRule type="expression" dxfId="458" priority="348">
      <formula>F56&lt;&gt;""</formula>
    </cfRule>
  </conditionalFormatting>
  <conditionalFormatting sqref="F64:M64">
    <cfRule type="expression" dxfId="457" priority="347">
      <formula>F56&lt;&gt;""</formula>
    </cfRule>
  </conditionalFormatting>
  <conditionalFormatting sqref="F65:M65">
    <cfRule type="expression" dxfId="456" priority="346">
      <formula>F56&lt;&gt;""</formula>
    </cfRule>
  </conditionalFormatting>
  <conditionalFormatting sqref="F66:M66">
    <cfRule type="expression" dxfId="455" priority="345">
      <formula>F56&lt;&gt;""</formula>
    </cfRule>
  </conditionalFormatting>
  <conditionalFormatting sqref="F67:M67">
    <cfRule type="expression" dxfId="454" priority="344">
      <formula>F56&lt;&gt;""</formula>
    </cfRule>
  </conditionalFormatting>
  <conditionalFormatting sqref="F68:M68">
    <cfRule type="expression" dxfId="453" priority="343">
      <formula>F56&lt;&gt;""</formula>
    </cfRule>
  </conditionalFormatting>
  <conditionalFormatting sqref="F69:M69">
    <cfRule type="expression" dxfId="452" priority="494">
      <formula>F69&lt;&gt;""</formula>
    </cfRule>
    <cfRule type="expression" dxfId="451" priority="495">
      <formula>F68="Not Met"</formula>
    </cfRule>
  </conditionalFormatting>
  <conditionalFormatting sqref="F70:M70">
    <cfRule type="expression" dxfId="450" priority="341">
      <formula>F56&lt;&gt;""</formula>
    </cfRule>
  </conditionalFormatting>
  <conditionalFormatting sqref="F71:M71">
    <cfRule type="expression" dxfId="449" priority="406">
      <formula>F71&lt;&gt;""</formula>
    </cfRule>
  </conditionalFormatting>
  <conditionalFormatting sqref="F72:M72">
    <cfRule type="expression" dxfId="448" priority="339">
      <formula>F56&lt;&gt;""</formula>
    </cfRule>
  </conditionalFormatting>
  <conditionalFormatting sqref="F73:M73">
    <cfRule type="expression" dxfId="447" priority="337">
      <formula>F56&lt;&gt;""</formula>
    </cfRule>
  </conditionalFormatting>
  <conditionalFormatting sqref="F74:M74">
    <cfRule type="expression" dxfId="446" priority="335">
      <formula>F56&lt;&gt;""</formula>
    </cfRule>
  </conditionalFormatting>
  <conditionalFormatting sqref="F75:M75">
    <cfRule type="expression" dxfId="445" priority="333">
      <formula>F56&lt;&gt;""</formula>
    </cfRule>
  </conditionalFormatting>
  <conditionalFormatting sqref="F76:M76">
    <cfRule type="expression" dxfId="444" priority="402">
      <formula>F76&lt;&gt;""</formula>
    </cfRule>
    <cfRule type="expression" dxfId="443" priority="403">
      <formula>F75="Not Met"</formula>
    </cfRule>
  </conditionalFormatting>
  <conditionalFormatting sqref="F78:M78">
    <cfRule type="expression" dxfId="442" priority="331">
      <formula>F56&lt;&gt;""</formula>
    </cfRule>
  </conditionalFormatting>
  <conditionalFormatting sqref="F84:M84">
    <cfRule type="expression" dxfId="441" priority="325">
      <formula>F56&lt;&gt;""</formula>
    </cfRule>
  </conditionalFormatting>
  <conditionalFormatting sqref="F101:M101">
    <cfRule type="expression" dxfId="440" priority="142">
      <formula>F100&lt;&gt;""</formula>
    </cfRule>
  </conditionalFormatting>
  <conditionalFormatting sqref="F102:M102">
    <cfRule type="expression" dxfId="439" priority="141">
      <formula>F100&lt;&gt;""</formula>
    </cfRule>
  </conditionalFormatting>
  <conditionalFormatting sqref="F103:M103">
    <cfRule type="expression" dxfId="438" priority="101">
      <formula>F100&lt;&gt;""</formula>
    </cfRule>
  </conditionalFormatting>
  <conditionalFormatting sqref="F104:M104">
    <cfRule type="expression" dxfId="437" priority="140">
      <formula>F100&lt;&gt;""</formula>
    </cfRule>
  </conditionalFormatting>
  <conditionalFormatting sqref="F105:M105">
    <cfRule type="expression" dxfId="436" priority="139">
      <formula>F100&lt;&gt;""</formula>
    </cfRule>
  </conditionalFormatting>
  <conditionalFormatting sqref="F107:M107">
    <cfRule type="expression" dxfId="435" priority="137">
      <formula>F100&lt;&gt;""</formula>
    </cfRule>
  </conditionalFormatting>
  <conditionalFormatting sqref="F108:M108">
    <cfRule type="expression" dxfId="434" priority="136">
      <formula>F100&lt;&gt;""</formula>
    </cfRule>
  </conditionalFormatting>
  <conditionalFormatting sqref="F109:M109">
    <cfRule type="expression" dxfId="433" priority="135">
      <formula>F100&lt;&gt;""</formula>
    </cfRule>
  </conditionalFormatting>
  <conditionalFormatting sqref="F110:M110">
    <cfRule type="expression" dxfId="432" priority="134">
      <formula>F100&lt;&gt;""</formula>
    </cfRule>
  </conditionalFormatting>
  <conditionalFormatting sqref="F111:M111">
    <cfRule type="expression" dxfId="431" priority="133">
      <formula>F100&lt;&gt;""</formula>
    </cfRule>
  </conditionalFormatting>
  <conditionalFormatting sqref="F112:M112">
    <cfRule type="expression" dxfId="430" priority="132">
      <formula>F100&lt;&gt;""</formula>
    </cfRule>
  </conditionalFormatting>
  <conditionalFormatting sqref="F113:M113">
    <cfRule type="expression" dxfId="429" priority="280">
      <formula>F113&lt;&gt;""</formula>
    </cfRule>
    <cfRule type="expression" dxfId="428" priority="281">
      <formula>F112="Not Met"</formula>
    </cfRule>
  </conditionalFormatting>
  <conditionalFormatting sqref="F114:M114">
    <cfRule type="expression" dxfId="427" priority="130">
      <formula>F100&lt;&gt;""</formula>
    </cfRule>
  </conditionalFormatting>
  <conditionalFormatting sqref="F115:M115">
    <cfRule type="expression" dxfId="426" priority="192">
      <formula>F115&lt;&gt;""</formula>
    </cfRule>
  </conditionalFormatting>
  <conditionalFormatting sqref="F116:M116">
    <cfRule type="expression" dxfId="425" priority="128">
      <formula>F100&lt;&gt;""</formula>
    </cfRule>
  </conditionalFormatting>
  <conditionalFormatting sqref="F117:M117">
    <cfRule type="expression" dxfId="424" priority="126">
      <formula>F100&lt;&gt;""</formula>
    </cfRule>
  </conditionalFormatting>
  <conditionalFormatting sqref="F118:M118">
    <cfRule type="expression" dxfId="423" priority="124">
      <formula>F100&lt;&gt;""</formula>
    </cfRule>
  </conditionalFormatting>
  <conditionalFormatting sqref="F119:M119">
    <cfRule type="expression" dxfId="422" priority="122">
      <formula>F100&lt;&gt;""</formula>
    </cfRule>
  </conditionalFormatting>
  <conditionalFormatting sqref="F120:M120">
    <cfRule type="expression" dxfId="421" priority="189">
      <formula>F119="Not Met"</formula>
    </cfRule>
    <cfRule type="expression" dxfId="420" priority="188">
      <formula>F120&lt;&gt;""</formula>
    </cfRule>
  </conditionalFormatting>
  <conditionalFormatting sqref="F122:M122">
    <cfRule type="expression" dxfId="419" priority="120">
      <formula>F100&lt;&gt;""</formula>
    </cfRule>
  </conditionalFormatting>
  <conditionalFormatting sqref="F124:M124">
    <cfRule type="expression" dxfId="418" priority="93">
      <formula>F100&lt;&gt;""</formula>
    </cfRule>
  </conditionalFormatting>
  <conditionalFormatting sqref="F126:M126">
    <cfRule type="expression" dxfId="417" priority="92">
      <formula>F100&lt;&gt;""</formula>
    </cfRule>
  </conditionalFormatting>
  <conditionalFormatting sqref="F128:M128">
    <cfRule type="expression" dxfId="416" priority="114">
      <formula>F100&lt;&gt;""</formula>
    </cfRule>
  </conditionalFormatting>
  <conditionalFormatting sqref="H8">
    <cfRule type="expression" dxfId="415" priority="1178">
      <formula>$B$8&lt;&gt;""</formula>
    </cfRule>
  </conditionalFormatting>
  <conditionalFormatting sqref="I12:I17">
    <cfRule type="expression" dxfId="414" priority="1105">
      <formula>I12&lt;&gt;""</formula>
    </cfRule>
  </conditionalFormatting>
  <conditionalFormatting sqref="I18">
    <cfRule type="expression" dxfId="413" priority="1154">
      <formula>$I$18&lt;&gt;""</formula>
    </cfRule>
  </conditionalFormatting>
  <conditionalFormatting sqref="I21">
    <cfRule type="expression" dxfId="412" priority="1383">
      <formula>I21="Not Met"</formula>
    </cfRule>
  </conditionalFormatting>
  <conditionalFormatting sqref="I21:I24">
    <cfRule type="expression" dxfId="411" priority="1198">
      <formula>I21="Met"</formula>
    </cfRule>
  </conditionalFormatting>
  <conditionalFormatting sqref="I22 O26:P26">
    <cfRule type="expression" dxfId="410" priority="1199">
      <formula>I22="Not Met"</formula>
    </cfRule>
  </conditionalFormatting>
  <conditionalFormatting sqref="I26">
    <cfRule type="expression" dxfId="409" priority="1380">
      <formula>I26="Not Met"</formula>
    </cfRule>
    <cfRule type="expression" dxfId="408" priority="1379">
      <formula>I26="Met"</formula>
    </cfRule>
  </conditionalFormatting>
  <conditionalFormatting sqref="I28:I29">
    <cfRule type="expression" dxfId="407" priority="1375">
      <formula>I28="No"</formula>
    </cfRule>
    <cfRule type="expression" dxfId="406" priority="1374">
      <formula>I28="Yes"</formula>
    </cfRule>
  </conditionalFormatting>
  <conditionalFormatting sqref="I31">
    <cfRule type="expression" dxfId="405" priority="1342">
      <formula>I31="Not Met"</formula>
    </cfRule>
    <cfRule type="expression" dxfId="404" priority="1341">
      <formula>I31="Met"</formula>
    </cfRule>
  </conditionalFormatting>
  <conditionalFormatting sqref="I33">
    <cfRule type="expression" dxfId="403" priority="1386">
      <formula>I$437&lt;&gt;""</formula>
    </cfRule>
  </conditionalFormatting>
  <conditionalFormatting sqref="I34">
    <cfRule type="expression" dxfId="402" priority="1340">
      <formula>I34="Not Met"</formula>
    </cfRule>
    <cfRule type="expression" dxfId="401" priority="1339">
      <formula>I34="Met"</formula>
    </cfRule>
  </conditionalFormatting>
  <conditionalFormatting sqref="I36">
    <cfRule type="expression" dxfId="400" priority="1338">
      <formula>I36="Not Met"</formula>
    </cfRule>
    <cfRule type="expression" dxfId="399" priority="1337">
      <formula>I36="Met"</formula>
    </cfRule>
  </conditionalFormatting>
  <conditionalFormatting sqref="I38">
    <cfRule type="expression" dxfId="398" priority="1335">
      <formula>I38="Met"</formula>
    </cfRule>
    <cfRule type="expression" dxfId="397" priority="1336">
      <formula>I38="Not Met"</formula>
    </cfRule>
  </conditionalFormatting>
  <conditionalFormatting sqref="I40">
    <cfRule type="expression" dxfId="396" priority="1333">
      <formula>I40="Met"</formula>
    </cfRule>
    <cfRule type="expression" dxfId="395" priority="1334">
      <formula>I40="Not Met"</formula>
    </cfRule>
  </conditionalFormatting>
  <conditionalFormatting sqref="I42">
    <cfRule type="expression" dxfId="394" priority="1329">
      <formula>I42="Met"</formula>
    </cfRule>
    <cfRule type="expression" dxfId="393" priority="1330">
      <formula>I42="Not Met"</formula>
    </cfRule>
  </conditionalFormatting>
  <conditionalFormatting sqref="I44">
    <cfRule type="expression" dxfId="392" priority="1327">
      <formula>I44="Met"</formula>
    </cfRule>
    <cfRule type="expression" dxfId="391" priority="1328">
      <formula>I44="Not Met"</formula>
    </cfRule>
  </conditionalFormatting>
  <conditionalFormatting sqref="I46">
    <cfRule type="expression" dxfId="390" priority="1325">
      <formula>I46="Met"</formula>
    </cfRule>
    <cfRule type="expression" dxfId="389" priority="1326">
      <formula>I46="Not Met"</formula>
    </cfRule>
  </conditionalFormatting>
  <conditionalFormatting sqref="I48">
    <cfRule type="expression" dxfId="388" priority="1323">
      <formula>I48="Met"</formula>
    </cfRule>
    <cfRule type="expression" dxfId="387" priority="1324">
      <formula>I48="Not Met"</formula>
    </cfRule>
  </conditionalFormatting>
  <conditionalFormatting sqref="I56:I61">
    <cfRule type="expression" dxfId="386" priority="357">
      <formula>I56&lt;&gt;""</formula>
    </cfRule>
  </conditionalFormatting>
  <conditionalFormatting sqref="I62">
    <cfRule type="expression" dxfId="385" priority="379">
      <formula>$I$56&lt;&gt;""</formula>
    </cfRule>
  </conditionalFormatting>
  <conditionalFormatting sqref="I65">
    <cfRule type="expression" dxfId="384" priority="496">
      <formula>I65="Not Met"</formula>
    </cfRule>
  </conditionalFormatting>
  <conditionalFormatting sqref="I65:I68">
    <cfRule type="expression" dxfId="383" priority="398">
      <formula>I65="Met"</formula>
    </cfRule>
  </conditionalFormatting>
  <conditionalFormatting sqref="I66">
    <cfRule type="expression" dxfId="382" priority="399">
      <formula>I66="Not Met"</formula>
    </cfRule>
  </conditionalFormatting>
  <conditionalFormatting sqref="I70">
    <cfRule type="expression" dxfId="381" priority="492">
      <formula>I70="Met"</formula>
    </cfRule>
    <cfRule type="expression" dxfId="380" priority="493">
      <formula>I70="Not Met"</formula>
    </cfRule>
  </conditionalFormatting>
  <conditionalFormatting sqref="I72:I74">
    <cfRule type="expression" dxfId="379" priority="485">
      <formula>I72="Yes"</formula>
    </cfRule>
    <cfRule type="expression" dxfId="378" priority="486">
      <formula>I72="No"</formula>
    </cfRule>
  </conditionalFormatting>
  <conditionalFormatting sqref="I75">
    <cfRule type="expression" dxfId="377" priority="455">
      <formula>I75="Met"</formula>
    </cfRule>
    <cfRule type="expression" dxfId="376" priority="456">
      <formula>I75="Not Met"</formula>
    </cfRule>
  </conditionalFormatting>
  <conditionalFormatting sqref="I77">
    <cfRule type="expression" dxfId="375" priority="497">
      <formula>I$437&lt;&gt;""</formula>
    </cfRule>
  </conditionalFormatting>
  <conditionalFormatting sqref="I78">
    <cfRule type="expression" dxfId="374" priority="453">
      <formula>I78="Met"</formula>
    </cfRule>
    <cfRule type="expression" dxfId="373" priority="454">
      <formula>I78="Not Met"</formula>
    </cfRule>
  </conditionalFormatting>
  <conditionalFormatting sqref="I80">
    <cfRule type="expression" dxfId="372" priority="452">
      <formula>I80="Not Met"</formula>
    </cfRule>
    <cfRule type="expression" dxfId="371" priority="451">
      <formula>I80="Met"</formula>
    </cfRule>
  </conditionalFormatting>
  <conditionalFormatting sqref="I82">
    <cfRule type="expression" dxfId="370" priority="450">
      <formula>I82="Not Met"</formula>
    </cfRule>
    <cfRule type="expression" dxfId="369" priority="449">
      <formula>I82="Met"</formula>
    </cfRule>
  </conditionalFormatting>
  <conditionalFormatting sqref="I84">
    <cfRule type="expression" dxfId="368" priority="448">
      <formula>I84="Not Met"</formula>
    </cfRule>
    <cfRule type="expression" dxfId="367" priority="447">
      <formula>I84="Met"</formula>
    </cfRule>
  </conditionalFormatting>
  <conditionalFormatting sqref="I86">
    <cfRule type="expression" dxfId="366" priority="444">
      <formula>I86="Not Met"</formula>
    </cfRule>
    <cfRule type="expression" dxfId="365" priority="443">
      <formula>I86="Met"</formula>
    </cfRule>
  </conditionalFormatting>
  <conditionalFormatting sqref="I88">
    <cfRule type="expression" dxfId="364" priority="441">
      <formula>I88="Met"</formula>
    </cfRule>
    <cfRule type="expression" dxfId="363" priority="442">
      <formula>I88="Not Met"</formula>
    </cfRule>
  </conditionalFormatting>
  <conditionalFormatting sqref="I90">
    <cfRule type="expression" dxfId="362" priority="439">
      <formula>I90="Met"</formula>
    </cfRule>
    <cfRule type="expression" dxfId="361" priority="440">
      <formula>I90="Not Met"</formula>
    </cfRule>
  </conditionalFormatting>
  <conditionalFormatting sqref="I92">
    <cfRule type="expression" dxfId="360" priority="438">
      <formula>I92="Not Met"</formula>
    </cfRule>
    <cfRule type="expression" dxfId="359" priority="437">
      <formula>I92="Met"</formula>
    </cfRule>
  </conditionalFormatting>
  <conditionalFormatting sqref="I100:I105">
    <cfRule type="expression" dxfId="358" priority="145">
      <formula>I100&lt;&gt;""</formula>
    </cfRule>
  </conditionalFormatting>
  <conditionalFormatting sqref="I106">
    <cfRule type="expression" dxfId="357" priority="167">
      <formula>$I$106&lt;&gt;""</formula>
    </cfRule>
  </conditionalFormatting>
  <conditionalFormatting sqref="I109">
    <cfRule type="expression" dxfId="356" priority="282">
      <formula>I109="Not Met"</formula>
    </cfRule>
  </conditionalFormatting>
  <conditionalFormatting sqref="I109:I112">
    <cfRule type="expression" dxfId="355" priority="184">
      <formula>I109="Met"</formula>
    </cfRule>
  </conditionalFormatting>
  <conditionalFormatting sqref="I110">
    <cfRule type="expression" dxfId="354" priority="185">
      <formula>I110="Not Met"</formula>
    </cfRule>
  </conditionalFormatting>
  <conditionalFormatting sqref="I114">
    <cfRule type="expression" dxfId="353" priority="278">
      <formula>I114="Met"</formula>
    </cfRule>
    <cfRule type="expression" dxfId="352" priority="279">
      <formula>I114="Not Met"</formula>
    </cfRule>
  </conditionalFormatting>
  <conditionalFormatting sqref="I116:I118">
    <cfRule type="expression" dxfId="351" priority="271">
      <formula>I116="Yes"</formula>
    </cfRule>
    <cfRule type="expression" dxfId="350" priority="272">
      <formula>I116="No"</formula>
    </cfRule>
  </conditionalFormatting>
  <conditionalFormatting sqref="I119">
    <cfRule type="expression" dxfId="349" priority="241">
      <formula>I119="Met"</formula>
    </cfRule>
    <cfRule type="expression" dxfId="348" priority="242">
      <formula>I119="Not Met"</formula>
    </cfRule>
  </conditionalFormatting>
  <conditionalFormatting sqref="I121">
    <cfRule type="expression" dxfId="347" priority="283">
      <formula>I$437&lt;&gt;""</formula>
    </cfRule>
  </conditionalFormatting>
  <conditionalFormatting sqref="I122">
    <cfRule type="expression" dxfId="346" priority="240">
      <formula>I122="Not Met"</formula>
    </cfRule>
    <cfRule type="expression" dxfId="345" priority="239">
      <formula>I122="Met"</formula>
    </cfRule>
  </conditionalFormatting>
  <conditionalFormatting sqref="I124">
    <cfRule type="expression" dxfId="344" priority="237">
      <formula>I124="Met"</formula>
    </cfRule>
    <cfRule type="expression" dxfId="343" priority="238">
      <formula>I124="Not Met"</formula>
    </cfRule>
  </conditionalFormatting>
  <conditionalFormatting sqref="I126">
    <cfRule type="expression" dxfId="342" priority="235">
      <formula>I126="Met"</formula>
    </cfRule>
    <cfRule type="expression" dxfId="341" priority="236">
      <formula>I126="Not Met"</formula>
    </cfRule>
  </conditionalFormatting>
  <conditionalFormatting sqref="I128">
    <cfRule type="expression" dxfId="340" priority="233">
      <formula>I128="Met"</formula>
    </cfRule>
    <cfRule type="expression" dxfId="339" priority="234">
      <formula>I128="Not Met"</formula>
    </cfRule>
  </conditionalFormatting>
  <conditionalFormatting sqref="I130">
    <cfRule type="expression" dxfId="338" priority="229">
      <formula>I130="Met"</formula>
    </cfRule>
    <cfRule type="expression" dxfId="337" priority="230">
      <formula>I130="Not Met"</formula>
    </cfRule>
  </conditionalFormatting>
  <conditionalFormatting sqref="I132">
    <cfRule type="expression" dxfId="336" priority="227">
      <formula>I132="Met"</formula>
    </cfRule>
    <cfRule type="expression" dxfId="335" priority="228">
      <formula>I132="Not Met"</formula>
    </cfRule>
  </conditionalFormatting>
  <conditionalFormatting sqref="I134">
    <cfRule type="expression" dxfId="334" priority="225">
      <formula>I134="Met"</formula>
    </cfRule>
    <cfRule type="expression" dxfId="333" priority="226">
      <formula>I134="Not Met"</formula>
    </cfRule>
  </conditionalFormatting>
  <conditionalFormatting sqref="I136">
    <cfRule type="expression" dxfId="332" priority="223">
      <formula>I136="Met"</formula>
    </cfRule>
    <cfRule type="expression" dxfId="331" priority="224">
      <formula>I136="Not Met"</formula>
    </cfRule>
  </conditionalFormatting>
  <conditionalFormatting sqref="I15:M15">
    <cfRule type="expression" dxfId="330" priority="1027">
      <formula>I12&lt;&gt;""</formula>
    </cfRule>
  </conditionalFormatting>
  <conditionalFormatting sqref="I23:M24">
    <cfRule type="expression" dxfId="329" priority="1288">
      <formula>I23="Not Met"</formula>
    </cfRule>
  </conditionalFormatting>
  <conditionalFormatting sqref="I27:M27">
    <cfRule type="expression" dxfId="328" priority="1270">
      <formula>I26="Not Met"</formula>
    </cfRule>
  </conditionalFormatting>
  <conditionalFormatting sqref="I35:M35 O35:R35 T35:W35 I37:M37 O37:R37 T37:W37 I39:M39 O39:R39 T39:W39 F41:M41 O41:R41 T41:W41 F43:M43 O43:R43 T43:W43 F45:M45 O45:R45 T45:W45 F47:M47 O47:R47 T47:W47 F49:M49 O49:R49 T49:W49">
    <cfRule type="expression" dxfId="327" priority="1391">
      <formula>F35&lt;&gt;""</formula>
    </cfRule>
  </conditionalFormatting>
  <conditionalFormatting sqref="I35:M35 O35:R35 T35:W35 I37:M37 O37:R37 T37:W37 I39:M39 O39:R39 T39:W39 I41:M41 O41:R41 T41:W41 I43:M43 O43:R43 T43:W43 I45:M45 O45:R45 T45:W45 I47:M47 O47:R47 T47:W47 I49:M49 O49:R49 T49:W49 O27:R27 T27:W27">
    <cfRule type="expression" dxfId="326" priority="1423">
      <formula>I26="Not Met"</formula>
    </cfRule>
  </conditionalFormatting>
  <conditionalFormatting sqref="I36:M36">
    <cfRule type="expression" dxfId="325" priority="1004">
      <formula>I12&lt;&gt;""</formula>
    </cfRule>
  </conditionalFormatting>
  <conditionalFormatting sqref="I42:M42">
    <cfRule type="expression" dxfId="324" priority="996">
      <formula>I12&lt;&gt;""</formula>
    </cfRule>
  </conditionalFormatting>
  <conditionalFormatting sqref="I44:M44">
    <cfRule type="expression" dxfId="323" priority="994">
      <formula>I12&lt;&gt;""</formula>
    </cfRule>
  </conditionalFormatting>
  <conditionalFormatting sqref="I46:M46">
    <cfRule type="expression" dxfId="322" priority="992">
      <formula>I12&lt;&gt;""</formula>
    </cfRule>
  </conditionalFormatting>
  <conditionalFormatting sqref="I48:M48">
    <cfRule type="expression" dxfId="321" priority="990">
      <formula>I12&lt;&gt;""</formula>
    </cfRule>
  </conditionalFormatting>
  <conditionalFormatting sqref="I67:M68">
    <cfRule type="expression" dxfId="320" priority="409">
      <formula>I67="Not Met"</formula>
    </cfRule>
  </conditionalFormatting>
  <conditionalFormatting sqref="I71:M71">
    <cfRule type="expression" dxfId="319" priority="407">
      <formula>I70="Not Met"</formula>
    </cfRule>
  </conditionalFormatting>
  <conditionalFormatting sqref="I79:M79 I81:M81 I83:M83 F85:M85 F87:M87 F89:M89 F91:M91 F93:M93">
    <cfRule type="expression" dxfId="318" priority="498">
      <formula>F79&lt;&gt;""</formula>
    </cfRule>
  </conditionalFormatting>
  <conditionalFormatting sqref="I79:M79 I81:M81 I83:M83 I85:M85 I87:M87 I89:M89 I91:M91 I93:M93">
    <cfRule type="expression" dxfId="317" priority="515">
      <formula>I78="Not Met"</formula>
    </cfRule>
  </conditionalFormatting>
  <conditionalFormatting sqref="I80:M80">
    <cfRule type="expression" dxfId="316" priority="329">
      <formula>I56&lt;&gt;""</formula>
    </cfRule>
  </conditionalFormatting>
  <conditionalFormatting sqref="I82:M82">
    <cfRule type="expression" dxfId="315" priority="327">
      <formula>I56&lt;&gt;""</formula>
    </cfRule>
  </conditionalFormatting>
  <conditionalFormatting sqref="I86:M86">
    <cfRule type="expression" dxfId="314" priority="321">
      <formula>I56&lt;&gt;""</formula>
    </cfRule>
  </conditionalFormatting>
  <conditionalFormatting sqref="I88:M88">
    <cfRule type="expression" dxfId="313" priority="319">
      <formula>I56&lt;&gt;""</formula>
    </cfRule>
  </conditionalFormatting>
  <conditionalFormatting sqref="I90:M90">
    <cfRule type="expression" dxfId="312" priority="317">
      <formula>I56&lt;&gt;""</formula>
    </cfRule>
  </conditionalFormatting>
  <conditionalFormatting sqref="I92:M92">
    <cfRule type="expression" dxfId="311" priority="315">
      <formula>I56&lt;&gt;""</formula>
    </cfRule>
  </conditionalFormatting>
  <conditionalFormatting sqref="I111:M112">
    <cfRule type="expression" dxfId="310" priority="195">
      <formula>I111="Not Met"</formula>
    </cfRule>
  </conditionalFormatting>
  <conditionalFormatting sqref="I115:M115">
    <cfRule type="expression" dxfId="309" priority="193">
      <formula>I114="Not Met"</formula>
    </cfRule>
  </conditionalFormatting>
  <conditionalFormatting sqref="I123:M123 I125:M125 I127:M127 F129:M129 F131:M131 F133:M133 F135:M135 F137:M137">
    <cfRule type="expression" dxfId="308" priority="284">
      <formula>F123&lt;&gt;""</formula>
    </cfRule>
  </conditionalFormatting>
  <conditionalFormatting sqref="I123:M123 I125:M125 I127:M127 I129:M129 I131:M131 I133:M133 I135:M135 I137:M137">
    <cfRule type="expression" dxfId="307" priority="301">
      <formula>I122="Not Met"</formula>
    </cfRule>
  </conditionalFormatting>
  <conditionalFormatting sqref="I130:M130">
    <cfRule type="expression" dxfId="306" priority="110">
      <formula>I100&lt;&gt;""</formula>
    </cfRule>
  </conditionalFormatting>
  <conditionalFormatting sqref="I132:M132">
    <cfRule type="expression" dxfId="305" priority="108">
      <formula>I100&lt;&gt;""</formula>
    </cfRule>
  </conditionalFormatting>
  <conditionalFormatting sqref="I134:M134">
    <cfRule type="expression" dxfId="304" priority="106">
      <formula>I100&lt;&gt;""</formula>
    </cfRule>
  </conditionalFormatting>
  <conditionalFormatting sqref="I136:M136">
    <cfRule type="expression" dxfId="303" priority="104">
      <formula>I100&lt;&gt;""</formula>
    </cfRule>
  </conditionalFormatting>
  <conditionalFormatting sqref="J28:J29">
    <cfRule type="expression" dxfId="302" priority="1314">
      <formula>J28="Yes"</formula>
    </cfRule>
    <cfRule type="expression" dxfId="301" priority="1313">
      <formula>J28="No"</formula>
    </cfRule>
  </conditionalFormatting>
  <conditionalFormatting sqref="J30">
    <cfRule type="expression" dxfId="300" priority="1312">
      <formula>J30="Yes"</formula>
    </cfRule>
  </conditionalFormatting>
  <conditionalFormatting sqref="J72:J74">
    <cfRule type="expression" dxfId="299" priority="431">
      <formula>J72="No"</formula>
    </cfRule>
    <cfRule type="expression" dxfId="298" priority="432">
      <formula>J72="Yes"</formula>
    </cfRule>
  </conditionalFormatting>
  <conditionalFormatting sqref="J118">
    <cfRule type="expression" dxfId="297" priority="217">
      <formula>J118="No"</formula>
    </cfRule>
    <cfRule type="expression" dxfId="296" priority="218">
      <formula>J118="Yes"</formula>
    </cfRule>
  </conditionalFormatting>
  <conditionalFormatting sqref="J18:K18">
    <cfRule type="expression" dxfId="295" priority="1153">
      <formula>$J$18&lt;&gt;""</formula>
    </cfRule>
  </conditionalFormatting>
  <conditionalFormatting sqref="J62:K62">
    <cfRule type="expression" dxfId="294" priority="378">
      <formula>$J56&lt;&gt;""</formula>
    </cfRule>
  </conditionalFormatting>
  <conditionalFormatting sqref="J106:K106">
    <cfRule type="expression" dxfId="293" priority="166">
      <formula>$J$106&lt;&gt;""</formula>
    </cfRule>
  </conditionalFormatting>
  <conditionalFormatting sqref="J12:M12">
    <cfRule type="expression" dxfId="292" priority="1031">
      <formula>J12&lt;&gt;""</formula>
    </cfRule>
  </conditionalFormatting>
  <conditionalFormatting sqref="J18:M18">
    <cfRule type="expression" dxfId="291" priority="1024">
      <formula>J12&lt;&gt;""</formula>
    </cfRule>
  </conditionalFormatting>
  <conditionalFormatting sqref="J21:M22 O21:P22">
    <cfRule type="expression" dxfId="290" priority="1195">
      <formula>J21="Not Met"</formula>
    </cfRule>
  </conditionalFormatting>
  <conditionalFormatting sqref="J23:M24 J26:M26">
    <cfRule type="expression" dxfId="289" priority="1289">
      <formula>J23="Met"</formula>
    </cfRule>
  </conditionalFormatting>
  <conditionalFormatting sqref="J26:M26">
    <cfRule type="expression" dxfId="288" priority="1286">
      <formula>J26="Not Met"</formula>
    </cfRule>
  </conditionalFormatting>
  <conditionalFormatting sqref="J31:M31">
    <cfRule type="expression" dxfId="287" priority="1310">
      <formula>J31="Met"</formula>
    </cfRule>
    <cfRule type="expression" dxfId="286" priority="1309">
      <formula>J31="Not Met"</formula>
    </cfRule>
  </conditionalFormatting>
  <conditionalFormatting sqref="J33:M33">
    <cfRule type="expression" dxfId="285" priority="3826">
      <formula>J$437&lt;&gt;""</formula>
    </cfRule>
  </conditionalFormatting>
  <conditionalFormatting sqref="J34:M34">
    <cfRule type="expression" dxfId="284" priority="1307">
      <formula>J34="Not Met"</formula>
    </cfRule>
    <cfRule type="expression" dxfId="283" priority="1308">
      <formula>J34="Met"</formula>
    </cfRule>
  </conditionalFormatting>
  <conditionalFormatting sqref="J36:M36">
    <cfRule type="expression" dxfId="282" priority="1305">
      <formula>J36="Not Met"</formula>
    </cfRule>
    <cfRule type="expression" dxfId="281" priority="1306">
      <formula>J36="Met"</formula>
    </cfRule>
  </conditionalFormatting>
  <conditionalFormatting sqref="J38:M38">
    <cfRule type="expression" dxfId="280" priority="1303">
      <formula>J38="Not Met"</formula>
    </cfRule>
    <cfRule type="expression" dxfId="279" priority="1304">
      <formula>J38="Met"</formula>
    </cfRule>
  </conditionalFormatting>
  <conditionalFormatting sqref="J40:M40">
    <cfRule type="expression" dxfId="278" priority="1302">
      <formula>J40="Met"</formula>
    </cfRule>
    <cfRule type="expression" dxfId="277" priority="1301">
      <formula>J40="Not Met"</formula>
    </cfRule>
  </conditionalFormatting>
  <conditionalFormatting sqref="J42:M42">
    <cfRule type="expression" dxfId="276" priority="1297">
      <formula>J42="Not Met"</formula>
    </cfRule>
    <cfRule type="expression" dxfId="275" priority="1298">
      <formula>J42="Met"</formula>
    </cfRule>
  </conditionalFormatting>
  <conditionalFormatting sqref="J44:M44">
    <cfRule type="expression" dxfId="274" priority="1295">
      <formula>J44="Not Met"</formula>
    </cfRule>
    <cfRule type="expression" dxfId="273" priority="1296">
      <formula>J44="Met"</formula>
    </cfRule>
  </conditionalFormatting>
  <conditionalFormatting sqref="J46:M46">
    <cfRule type="expression" dxfId="272" priority="1293">
      <formula>J46="Not Met"</formula>
    </cfRule>
    <cfRule type="expression" dxfId="271" priority="1294">
      <formula>J46="Met"</formula>
    </cfRule>
  </conditionalFormatting>
  <conditionalFormatting sqref="J48:M48">
    <cfRule type="expression" dxfId="270" priority="1291">
      <formula>J48="Not Met"</formula>
    </cfRule>
    <cfRule type="expression" dxfId="269" priority="1292">
      <formula>J48="Met"</formula>
    </cfRule>
  </conditionalFormatting>
  <conditionalFormatting sqref="J56:M56">
    <cfRule type="expression" dxfId="268" priority="355">
      <formula>J56&lt;&gt;""</formula>
    </cfRule>
  </conditionalFormatting>
  <conditionalFormatting sqref="J65:M66 F65:H68">
    <cfRule type="expression" dxfId="267" priority="400">
      <formula>F65="Met"</formula>
    </cfRule>
  </conditionalFormatting>
  <conditionalFormatting sqref="J65:M66">
    <cfRule type="expression" dxfId="266" priority="397">
      <formula>J65="Not Met"</formula>
    </cfRule>
  </conditionalFormatting>
  <conditionalFormatting sqref="J67:M68 J70:M70">
    <cfRule type="expression" dxfId="265" priority="410">
      <formula>J67="Met"</formula>
    </cfRule>
  </conditionalFormatting>
  <conditionalFormatting sqref="J70:M70">
    <cfRule type="expression" dxfId="264" priority="408">
      <formula>J70="Not Met"</formula>
    </cfRule>
  </conditionalFormatting>
  <conditionalFormatting sqref="J75:M75">
    <cfRule type="expression" dxfId="263" priority="430">
      <formula>J75="Met"</formula>
    </cfRule>
    <cfRule type="expression" dxfId="262" priority="429">
      <formula>J75="Not Met"</formula>
    </cfRule>
  </conditionalFormatting>
  <conditionalFormatting sqref="J77:M77">
    <cfRule type="expression" dxfId="261" priority="524">
      <formula>J$437&lt;&gt;""</formula>
    </cfRule>
  </conditionalFormatting>
  <conditionalFormatting sqref="J78:M78">
    <cfRule type="expression" dxfId="260" priority="427">
      <formula>J78="Not Met"</formula>
    </cfRule>
    <cfRule type="expression" dxfId="259" priority="428">
      <formula>J78="Met"</formula>
    </cfRule>
  </conditionalFormatting>
  <conditionalFormatting sqref="J80:M80">
    <cfRule type="expression" dxfId="258" priority="426">
      <formula>J80="Met"</formula>
    </cfRule>
    <cfRule type="expression" dxfId="257" priority="425">
      <formula>J80="Not Met"</formula>
    </cfRule>
  </conditionalFormatting>
  <conditionalFormatting sqref="J82:M82">
    <cfRule type="expression" dxfId="256" priority="424">
      <formula>J82="Met"</formula>
    </cfRule>
    <cfRule type="expression" dxfId="255" priority="423">
      <formula>J82="Not Met"</formula>
    </cfRule>
  </conditionalFormatting>
  <conditionalFormatting sqref="J84:M84">
    <cfRule type="expression" dxfId="254" priority="422">
      <formula>J84="Met"</formula>
    </cfRule>
    <cfRule type="expression" dxfId="253" priority="421">
      <formula>J84="Not Met"</formula>
    </cfRule>
  </conditionalFormatting>
  <conditionalFormatting sqref="J86:M86">
    <cfRule type="expression" dxfId="252" priority="417">
      <formula>J86="Not Met"</formula>
    </cfRule>
    <cfRule type="expression" dxfId="251" priority="418">
      <formula>J86="Met"</formula>
    </cfRule>
  </conditionalFormatting>
  <conditionalFormatting sqref="J88:M88">
    <cfRule type="expression" dxfId="250" priority="415">
      <formula>J88="Not Met"</formula>
    </cfRule>
    <cfRule type="expression" dxfId="249" priority="416">
      <formula>J88="Met"</formula>
    </cfRule>
  </conditionalFormatting>
  <conditionalFormatting sqref="J90:M90">
    <cfRule type="expression" dxfId="248" priority="414">
      <formula>J90="Met"</formula>
    </cfRule>
    <cfRule type="expression" dxfId="247" priority="413">
      <formula>J90="Not Met"</formula>
    </cfRule>
  </conditionalFormatting>
  <conditionalFormatting sqref="J92:M92">
    <cfRule type="expression" dxfId="246" priority="412">
      <formula>J92="Met"</formula>
    </cfRule>
    <cfRule type="expression" dxfId="245" priority="411">
      <formula>J92="Not Met"</formula>
    </cfRule>
  </conditionalFormatting>
  <conditionalFormatting sqref="J100:M100">
    <cfRule type="expression" dxfId="244" priority="143">
      <formula>J100&lt;&gt;""</formula>
    </cfRule>
  </conditionalFormatting>
  <conditionalFormatting sqref="J109:M110 F109:H112">
    <cfRule type="expression" dxfId="243" priority="186">
      <formula>F109="Met"</formula>
    </cfRule>
  </conditionalFormatting>
  <conditionalFormatting sqref="J109:M110">
    <cfRule type="expression" dxfId="242" priority="183">
      <formula>J109="Not Met"</formula>
    </cfRule>
  </conditionalFormatting>
  <conditionalFormatting sqref="J111:M112 J114:M114">
    <cfRule type="expression" dxfId="241" priority="196">
      <formula>J111="Met"</formula>
    </cfRule>
  </conditionalFormatting>
  <conditionalFormatting sqref="J114:M114">
    <cfRule type="expression" dxfId="240" priority="194">
      <formula>J114="Not Met"</formula>
    </cfRule>
  </conditionalFormatting>
  <conditionalFormatting sqref="J116:M117">
    <cfRule type="expression" dxfId="239" priority="219">
      <formula>J116="No"</formula>
    </cfRule>
    <cfRule type="expression" dxfId="238" priority="220">
      <formula>J116="Yes"</formula>
    </cfRule>
  </conditionalFormatting>
  <conditionalFormatting sqref="J119:M119">
    <cfRule type="expression" dxfId="237" priority="215">
      <formula>J119="Not Met"</formula>
    </cfRule>
    <cfRule type="expression" dxfId="236" priority="216">
      <formula>J119="Met"</formula>
    </cfRule>
  </conditionalFormatting>
  <conditionalFormatting sqref="J121:M121">
    <cfRule type="expression" dxfId="235" priority="308">
      <formula>J$437&lt;&gt;""</formula>
    </cfRule>
  </conditionalFormatting>
  <conditionalFormatting sqref="J122:M122">
    <cfRule type="expression" dxfId="234" priority="213">
      <formula>J122="Not Met"</formula>
    </cfRule>
    <cfRule type="expression" dxfId="233" priority="214">
      <formula>J122="Met"</formula>
    </cfRule>
  </conditionalFormatting>
  <conditionalFormatting sqref="J124:M124">
    <cfRule type="expression" dxfId="232" priority="211">
      <formula>J124="Not Met"</formula>
    </cfRule>
    <cfRule type="expression" dxfId="231" priority="212">
      <formula>J124="Met"</formula>
    </cfRule>
  </conditionalFormatting>
  <conditionalFormatting sqref="J126:M126">
    <cfRule type="expression" dxfId="230" priority="209">
      <formula>J126="Not Met"</formula>
    </cfRule>
    <cfRule type="expression" dxfId="229" priority="210">
      <formula>J126="Met"</formula>
    </cfRule>
  </conditionalFormatting>
  <conditionalFormatting sqref="J128:M128">
    <cfRule type="expression" dxfId="228" priority="208">
      <formula>J128="Met"</formula>
    </cfRule>
    <cfRule type="expression" dxfId="227" priority="207">
      <formula>J128="Not Met"</formula>
    </cfRule>
  </conditionalFormatting>
  <conditionalFormatting sqref="J130:M130">
    <cfRule type="expression" dxfId="226" priority="203">
      <formula>J130="Not Met"</formula>
    </cfRule>
    <cfRule type="expression" dxfId="225" priority="204">
      <formula>J130="Met"</formula>
    </cfRule>
  </conditionalFormatting>
  <conditionalFormatting sqref="J132:M132">
    <cfRule type="expression" dxfId="224" priority="201">
      <formula>J132="Not Met"</formula>
    </cfRule>
    <cfRule type="expression" dxfId="223" priority="202">
      <formula>J132="Met"</formula>
    </cfRule>
  </conditionalFormatting>
  <conditionalFormatting sqref="J133:M133">
    <cfRule type="expression" dxfId="222" priority="107">
      <formula>$L$133="Not Met"</formula>
    </cfRule>
  </conditionalFormatting>
  <conditionalFormatting sqref="J134:M134">
    <cfRule type="expression" dxfId="221" priority="199">
      <formula>J134="Not Met"</formula>
    </cfRule>
    <cfRule type="expression" dxfId="220" priority="200">
      <formula>J134="Met"</formula>
    </cfRule>
  </conditionalFormatting>
  <conditionalFormatting sqref="J135:M135">
    <cfRule type="expression" dxfId="219" priority="105">
      <formula>$L$134="Not Met"</formula>
    </cfRule>
  </conditionalFormatting>
  <conditionalFormatting sqref="J136:M136">
    <cfRule type="expression" dxfId="218" priority="197">
      <formula>J136="Not Met"</formula>
    </cfRule>
    <cfRule type="expression" dxfId="217" priority="198">
      <formula>J136="Met"</formula>
    </cfRule>
  </conditionalFormatting>
  <conditionalFormatting sqref="J137:M137">
    <cfRule type="expression" dxfId="216" priority="103">
      <formula>$L$136="Not Met"</formula>
    </cfRule>
  </conditionalFormatting>
  <conditionalFormatting sqref="L18:M18">
    <cfRule type="expression" dxfId="215" priority="1152">
      <formula>$L$18&lt;&gt;""</formula>
    </cfRule>
  </conditionalFormatting>
  <conditionalFormatting sqref="L28:M29">
    <cfRule type="expression" dxfId="214" priority="1">
      <formula>L28="Yes"</formula>
    </cfRule>
    <cfRule type="expression" dxfId="213" priority="2">
      <formula>L28="No"</formula>
    </cfRule>
  </conditionalFormatting>
  <conditionalFormatting sqref="L30:M30">
    <cfRule type="expression" dxfId="212" priority="57">
      <formula>L30+"Yes"</formula>
    </cfRule>
    <cfRule type="expression" dxfId="211" priority="58">
      <formula>L30="No"</formula>
    </cfRule>
  </conditionalFormatting>
  <conditionalFormatting sqref="L62:M62">
    <cfRule type="expression" dxfId="210" priority="377">
      <formula>$L$56&lt;&gt;""</formula>
    </cfRule>
  </conditionalFormatting>
  <conditionalFormatting sqref="L72:M73">
    <cfRule type="expression" dxfId="209" priority="53">
      <formula>L72="Yes"</formula>
    </cfRule>
  </conditionalFormatting>
  <conditionalFormatting sqref="L72:M74">
    <cfRule type="expression" dxfId="208" priority="54">
      <formula>L72="No"</formula>
    </cfRule>
  </conditionalFormatting>
  <conditionalFormatting sqref="L74:M74">
    <cfRule type="expression" dxfId="207" priority="86">
      <formula>L74="Yes"</formula>
    </cfRule>
  </conditionalFormatting>
  <conditionalFormatting sqref="L106:M106">
    <cfRule type="expression" dxfId="206" priority="165">
      <formula>$L$106&lt;&gt;""</formula>
    </cfRule>
  </conditionalFormatting>
  <conditionalFormatting sqref="L118:M118">
    <cfRule type="expression" dxfId="205" priority="87">
      <formula>L118="Yes"</formula>
    </cfRule>
    <cfRule type="expression" dxfId="204" priority="88">
      <formula>L118="No"</formula>
    </cfRule>
  </conditionalFormatting>
  <conditionalFormatting sqref="N13:N17">
    <cfRule type="expression" dxfId="203" priority="987">
      <formula>$N$13&lt;&gt;""</formula>
    </cfRule>
  </conditionalFormatting>
  <conditionalFormatting sqref="N14:N17">
    <cfRule type="expression" dxfId="202" priority="988">
      <formula>O13&lt;&gt;""</formula>
    </cfRule>
  </conditionalFormatting>
  <conditionalFormatting sqref="N19">
    <cfRule type="expression" dxfId="201" priority="985">
      <formula>O12&lt;&gt;""</formula>
    </cfRule>
  </conditionalFormatting>
  <conditionalFormatting sqref="N20">
    <cfRule type="expression" dxfId="200" priority="984">
      <formula>O12&lt;&gt;""</formula>
    </cfRule>
  </conditionalFormatting>
  <conditionalFormatting sqref="N21">
    <cfRule type="expression" dxfId="199" priority="983">
      <formula>O12&lt;&gt;""</formula>
    </cfRule>
  </conditionalFormatting>
  <conditionalFormatting sqref="N22">
    <cfRule type="expression" dxfId="198" priority="982">
      <formula>O12&lt;&gt;""</formula>
    </cfRule>
  </conditionalFormatting>
  <conditionalFormatting sqref="N23">
    <cfRule type="expression" dxfId="197" priority="981">
      <formula>O12&lt;&gt;""</formula>
    </cfRule>
  </conditionalFormatting>
  <conditionalFormatting sqref="N24">
    <cfRule type="expression" dxfId="196" priority="980">
      <formula>O12&lt;&gt;""</formula>
    </cfRule>
  </conditionalFormatting>
  <conditionalFormatting sqref="N25">
    <cfRule type="expression" dxfId="195" priority="979">
      <formula>$N$25&lt;&gt;""</formula>
    </cfRule>
  </conditionalFormatting>
  <conditionalFormatting sqref="N26">
    <cfRule type="expression" dxfId="194" priority="978">
      <formula>O12&lt;&gt;""</formula>
    </cfRule>
  </conditionalFormatting>
  <conditionalFormatting sqref="N27">
    <cfRule type="expression" dxfId="193" priority="976">
      <formula>N27&lt;&gt;""</formula>
    </cfRule>
  </conditionalFormatting>
  <conditionalFormatting sqref="N28">
    <cfRule type="expression" dxfId="192" priority="977">
      <formula>O12&lt;&gt;""</formula>
    </cfRule>
  </conditionalFormatting>
  <conditionalFormatting sqref="N29">
    <cfRule type="expression" dxfId="191" priority="974">
      <formula>O12&lt;&gt;""</formula>
    </cfRule>
  </conditionalFormatting>
  <conditionalFormatting sqref="N30">
    <cfRule type="expression" dxfId="190" priority="972">
      <formula>O12&lt;&gt;""</formula>
    </cfRule>
  </conditionalFormatting>
  <conditionalFormatting sqref="N31">
    <cfRule type="expression" dxfId="189" priority="970">
      <formula>O12&lt;&gt;""</formula>
    </cfRule>
  </conditionalFormatting>
  <conditionalFormatting sqref="N32">
    <cfRule type="expression" dxfId="188" priority="969">
      <formula>N32&lt;&gt;""</formula>
    </cfRule>
  </conditionalFormatting>
  <conditionalFormatting sqref="N34">
    <cfRule type="expression" dxfId="187" priority="968">
      <formula>O12&lt;&gt;""</formula>
    </cfRule>
  </conditionalFormatting>
  <conditionalFormatting sqref="N35">
    <cfRule type="expression" dxfId="186" priority="967">
      <formula>N35&lt;&gt;""</formula>
    </cfRule>
  </conditionalFormatting>
  <conditionalFormatting sqref="N36">
    <cfRule type="expression" dxfId="185" priority="966">
      <formula>O12&lt;&gt;""</formula>
    </cfRule>
  </conditionalFormatting>
  <conditionalFormatting sqref="N37">
    <cfRule type="expression" dxfId="184" priority="965">
      <formula>N37&lt;&gt;""</formula>
    </cfRule>
  </conditionalFormatting>
  <conditionalFormatting sqref="N38">
    <cfRule type="expression" dxfId="183" priority="964">
      <formula>O12&lt;&gt;""</formula>
    </cfRule>
  </conditionalFormatting>
  <conditionalFormatting sqref="N39">
    <cfRule type="expression" dxfId="182" priority="963">
      <formula>N39&lt;&gt;""</formula>
    </cfRule>
  </conditionalFormatting>
  <conditionalFormatting sqref="N40">
    <cfRule type="expression" dxfId="181" priority="962">
      <formula>O12&lt;&gt;""</formula>
    </cfRule>
  </conditionalFormatting>
  <conditionalFormatting sqref="N41">
    <cfRule type="expression" dxfId="180" priority="961">
      <formula>N41&lt;&gt;""</formula>
    </cfRule>
  </conditionalFormatting>
  <conditionalFormatting sqref="N42">
    <cfRule type="expression" dxfId="179" priority="958">
      <formula>O12&lt;&gt;""</formula>
    </cfRule>
  </conditionalFormatting>
  <conditionalFormatting sqref="N43">
    <cfRule type="expression" dxfId="178" priority="909">
      <formula>N43&lt;&gt;""</formula>
    </cfRule>
  </conditionalFormatting>
  <conditionalFormatting sqref="N44">
    <cfRule type="expression" dxfId="177" priority="957">
      <formula>O12&lt;&gt;""</formula>
    </cfRule>
  </conditionalFormatting>
  <conditionalFormatting sqref="N45">
    <cfRule type="expression" dxfId="176" priority="956">
      <formula>N45&lt;&gt;""</formula>
    </cfRule>
  </conditionalFormatting>
  <conditionalFormatting sqref="N46">
    <cfRule type="expression" dxfId="175" priority="955">
      <formula>O12&lt;&gt;""</formula>
    </cfRule>
  </conditionalFormatting>
  <conditionalFormatting sqref="N47">
    <cfRule type="expression" dxfId="174" priority="954">
      <formula>N47&lt;&gt;""</formula>
    </cfRule>
  </conditionalFormatting>
  <conditionalFormatting sqref="N48">
    <cfRule type="expression" dxfId="173" priority="953">
      <formula>O12&lt;&gt;""</formula>
    </cfRule>
  </conditionalFormatting>
  <conditionalFormatting sqref="N49">
    <cfRule type="expression" dxfId="172" priority="952">
      <formula>N49&lt;&gt;""</formula>
    </cfRule>
  </conditionalFormatting>
  <conditionalFormatting sqref="O11">
    <cfRule type="expression" dxfId="171" priority="1155">
      <formula>$O$12&lt;&gt;""</formula>
    </cfRule>
  </conditionalFormatting>
  <conditionalFormatting sqref="O25">
    <cfRule type="expression" dxfId="170" priority="938">
      <formula>O25&lt;&gt;""</formula>
    </cfRule>
  </conditionalFormatting>
  <conditionalFormatting sqref="O27">
    <cfRule type="expression" dxfId="169" priority="936">
      <formula>O27&lt;&gt;""</formula>
    </cfRule>
  </conditionalFormatting>
  <conditionalFormatting sqref="O32">
    <cfRule type="expression" dxfId="168" priority="928">
      <formula>O32&lt;&gt;""</formula>
    </cfRule>
  </conditionalFormatting>
  <conditionalFormatting sqref="O35">
    <cfRule type="expression" dxfId="167" priority="926">
      <formula>O35&lt;&gt;""</formula>
    </cfRule>
  </conditionalFormatting>
  <conditionalFormatting sqref="O37">
    <cfRule type="expression" dxfId="166" priority="924">
      <formula>O37&lt;&gt;""</formula>
    </cfRule>
  </conditionalFormatting>
  <conditionalFormatting sqref="O39">
    <cfRule type="expression" dxfId="165" priority="922">
      <formula>O39&lt;&gt;""</formula>
    </cfRule>
  </conditionalFormatting>
  <conditionalFormatting sqref="O41">
    <cfRule type="expression" dxfId="164" priority="920">
      <formula>O41&lt;&gt;""</formula>
    </cfRule>
  </conditionalFormatting>
  <conditionalFormatting sqref="O43">
    <cfRule type="expression" dxfId="163" priority="916">
      <formula>O43&lt;&gt;""</formula>
    </cfRule>
  </conditionalFormatting>
  <conditionalFormatting sqref="O45">
    <cfRule type="expression" dxfId="162" priority="914">
      <formula>O45&lt;&gt;""</formula>
    </cfRule>
  </conditionalFormatting>
  <conditionalFormatting sqref="O47">
    <cfRule type="expression" dxfId="161" priority="912">
      <formula>O47&lt;&gt;""</formula>
    </cfRule>
  </conditionalFormatting>
  <conditionalFormatting sqref="O49">
    <cfRule type="expression" dxfId="160" priority="910">
      <formula>O49&lt;&gt;""</formula>
    </cfRule>
  </conditionalFormatting>
  <conditionalFormatting sqref="O52:Q52">
    <cfRule type="expression" dxfId="159" priority="91">
      <formula>$O$52&lt;&gt;""</formula>
    </cfRule>
  </conditionalFormatting>
  <conditionalFormatting sqref="O13:R13">
    <cfRule type="expression" dxfId="158" priority="879">
      <formula>O12&lt;&gt;""</formula>
    </cfRule>
  </conditionalFormatting>
  <conditionalFormatting sqref="O14:R14">
    <cfRule type="expression" dxfId="157" priority="878">
      <formula>O12&lt;&gt;""</formula>
    </cfRule>
  </conditionalFormatting>
  <conditionalFormatting sqref="O15:R15">
    <cfRule type="expression" dxfId="156" priority="877">
      <formula>O12&lt;&gt;""</formula>
    </cfRule>
  </conditionalFormatting>
  <conditionalFormatting sqref="O16:R16">
    <cfRule type="expression" dxfId="155" priority="876">
      <formula>O12&lt;&gt;""</formula>
    </cfRule>
  </conditionalFormatting>
  <conditionalFormatting sqref="O17:R17">
    <cfRule type="expression" dxfId="154" priority="875">
      <formula>O12&lt;&gt;""</formula>
    </cfRule>
  </conditionalFormatting>
  <conditionalFormatting sqref="O19:R19">
    <cfRule type="expression" dxfId="153" priority="873">
      <formula>O12&lt;&gt;""</formula>
    </cfRule>
  </conditionalFormatting>
  <conditionalFormatting sqref="O20:R20">
    <cfRule type="expression" dxfId="152" priority="872">
      <formula>O12&lt;&gt;""</formula>
    </cfRule>
  </conditionalFormatting>
  <conditionalFormatting sqref="O21:R21">
    <cfRule type="expression" dxfId="151" priority="871">
      <formula>O12&lt;&gt;""</formula>
    </cfRule>
  </conditionalFormatting>
  <conditionalFormatting sqref="O22:R22">
    <cfRule type="expression" dxfId="150" priority="870">
      <formula>O12&lt;&gt;""</formula>
    </cfRule>
  </conditionalFormatting>
  <conditionalFormatting sqref="O23:R23">
    <cfRule type="expression" dxfId="149" priority="869">
      <formula>O12&lt;&gt;""</formula>
    </cfRule>
  </conditionalFormatting>
  <conditionalFormatting sqref="O24:R24">
    <cfRule type="expression" dxfId="148" priority="868">
      <formula>O12&lt;&gt;""</formula>
    </cfRule>
  </conditionalFormatting>
  <conditionalFormatting sqref="O26:R26 J21:M22 O21:R24 T28:W31 O28:R31 F21:H24 T21:W24 T26:W26 O34:R34 T34:W34 O36:R36 T36:W36 O38:R38 T38:W38 O40:R40 T40:W40 O42:R42 T42:W42 O44:R44 T44:W44 O46:R46 T46:W46 O48:R48 T48:W48">
    <cfRule type="expression" dxfId="147" priority="1200">
      <formula>F21="Met"</formula>
    </cfRule>
  </conditionalFormatting>
  <conditionalFormatting sqref="O26:R26">
    <cfRule type="expression" dxfId="146" priority="867">
      <formula>O12&lt;&gt;""</formula>
    </cfRule>
  </conditionalFormatting>
  <conditionalFormatting sqref="O28:R28">
    <cfRule type="expression" dxfId="145" priority="866">
      <formula>O12&lt;&gt;""</formula>
    </cfRule>
  </conditionalFormatting>
  <conditionalFormatting sqref="O28:R30">
    <cfRule type="expression" dxfId="144" priority="5">
      <formula>O28="Yes"</formula>
    </cfRule>
    <cfRule type="expression" dxfId="143" priority="6">
      <formula>O28="No"</formula>
    </cfRule>
  </conditionalFormatting>
  <conditionalFormatting sqref="O29:R29">
    <cfRule type="expression" dxfId="142" priority="865">
      <formula>O12&lt;&gt;""</formula>
    </cfRule>
  </conditionalFormatting>
  <conditionalFormatting sqref="O30:R30">
    <cfRule type="expression" dxfId="141" priority="864">
      <formula>O12&lt;&gt;""</formula>
    </cfRule>
  </conditionalFormatting>
  <conditionalFormatting sqref="O31:R31">
    <cfRule type="expression" dxfId="140" priority="863">
      <formula>O12&lt;&gt;""</formula>
    </cfRule>
  </conditionalFormatting>
  <conditionalFormatting sqref="O33:R33 T33:W33">
    <cfRule type="expression" dxfId="139" priority="1191">
      <formula>O$393&lt;&gt;""</formula>
    </cfRule>
  </conditionalFormatting>
  <conditionalFormatting sqref="O34:R34">
    <cfRule type="expression" dxfId="138" priority="862">
      <formula>O12&lt;&gt;""</formula>
    </cfRule>
  </conditionalFormatting>
  <conditionalFormatting sqref="O36:R36">
    <cfRule type="expression" dxfId="137" priority="861">
      <formula>O12&lt;&gt;""</formula>
    </cfRule>
  </conditionalFormatting>
  <conditionalFormatting sqref="O38:R38">
    <cfRule type="expression" dxfId="136" priority="860">
      <formula>O12&lt;&gt;""</formula>
    </cfRule>
  </conditionalFormatting>
  <conditionalFormatting sqref="O40:R40">
    <cfRule type="expression" dxfId="135" priority="859">
      <formula>O12&lt;&gt;""</formula>
    </cfRule>
  </conditionalFormatting>
  <conditionalFormatting sqref="O42:R42">
    <cfRule type="expression" dxfId="134" priority="857">
      <formula>O12&lt;&gt;""</formula>
    </cfRule>
  </conditionalFormatting>
  <conditionalFormatting sqref="O44:R44">
    <cfRule type="expression" dxfId="133" priority="856">
      <formula>O12&lt;&gt;""</formula>
    </cfRule>
  </conditionalFormatting>
  <conditionalFormatting sqref="O46:R46">
    <cfRule type="expression" dxfId="132" priority="855">
      <formula>O12&lt;&gt;""</formula>
    </cfRule>
  </conditionalFormatting>
  <conditionalFormatting sqref="O48:R48">
    <cfRule type="expression" dxfId="131" priority="854">
      <formula>O12&lt;&gt;""</formula>
    </cfRule>
  </conditionalFormatting>
  <conditionalFormatting sqref="O12:W12">
    <cfRule type="expression" dxfId="130" priority="707">
      <formula>O12&lt;&gt;""</formula>
    </cfRule>
  </conditionalFormatting>
  <conditionalFormatting sqref="O18:W18">
    <cfRule type="expression" dxfId="129" priority="701">
      <formula>O18&lt;&gt;""</formula>
    </cfRule>
  </conditionalFormatting>
  <conditionalFormatting sqref="Q21:R22 F21:H24 T21:W24 O23:R24 Q26:R26 T26:W26 O28:R31 T28:W31 O34:R34 T34:W34 O36:R36 T36:W36 O38:R38 T38:W38 O40:R40 T40:W40 O42:R42 T42:W42 O44:R44 T44:W44 O46:R46 T46:W46 O48:R48 T48:W48">
    <cfRule type="expression" dxfId="128" priority="1201">
      <formula>F21="Not Met"</formula>
    </cfRule>
  </conditionalFormatting>
  <conditionalFormatting sqref="S13:S17">
    <cfRule type="expression" dxfId="127" priority="526">
      <formula>S13&lt;&gt;""</formula>
    </cfRule>
  </conditionalFormatting>
  <conditionalFormatting sqref="S19">
    <cfRule type="expression" dxfId="126" priority="769">
      <formula>T12&lt;&gt;""</formula>
    </cfRule>
  </conditionalFormatting>
  <conditionalFormatting sqref="S20">
    <cfRule type="expression" dxfId="125" priority="768">
      <formula>T12&lt;&gt;""</formula>
    </cfRule>
  </conditionalFormatting>
  <conditionalFormatting sqref="S21">
    <cfRule type="expression" dxfId="124" priority="767">
      <formula>T12&lt;&gt;""</formula>
    </cfRule>
  </conditionalFormatting>
  <conditionalFormatting sqref="S22">
    <cfRule type="expression" dxfId="123" priority="766">
      <formula>T12&lt;&gt;""</formula>
    </cfRule>
  </conditionalFormatting>
  <conditionalFormatting sqref="S23">
    <cfRule type="expression" dxfId="122" priority="765">
      <formula>T12&lt;&gt;""</formula>
    </cfRule>
  </conditionalFormatting>
  <conditionalFormatting sqref="S24">
    <cfRule type="expression" dxfId="121" priority="764">
      <formula>T12&lt;&gt;""</formula>
    </cfRule>
  </conditionalFormatting>
  <conditionalFormatting sqref="S25">
    <cfRule type="expression" dxfId="120" priority="763">
      <formula>S25&lt;&gt;""</formula>
    </cfRule>
  </conditionalFormatting>
  <conditionalFormatting sqref="S26">
    <cfRule type="expression" dxfId="119" priority="762">
      <formula>T12&lt;&gt;""</formula>
    </cfRule>
  </conditionalFormatting>
  <conditionalFormatting sqref="S27">
    <cfRule type="expression" dxfId="118" priority="760">
      <formula>S27&lt;&gt;""</formula>
    </cfRule>
  </conditionalFormatting>
  <conditionalFormatting sqref="S28">
    <cfRule type="expression" dxfId="117" priority="761">
      <formula>T12&lt;&gt;""</formula>
    </cfRule>
  </conditionalFormatting>
  <conditionalFormatting sqref="S29">
    <cfRule type="expression" dxfId="116" priority="758">
      <formula>T12&lt;&gt;""</formula>
    </cfRule>
  </conditionalFormatting>
  <conditionalFormatting sqref="S30">
    <cfRule type="expression" dxfId="115" priority="756">
      <formula>T12&lt;&gt;""</formula>
    </cfRule>
  </conditionalFormatting>
  <conditionalFormatting sqref="S31">
    <cfRule type="expression" dxfId="114" priority="754">
      <formula>T12&lt;&gt;""</formula>
    </cfRule>
  </conditionalFormatting>
  <conditionalFormatting sqref="S32">
    <cfRule type="expression" dxfId="113" priority="753">
      <formula>S32&lt;&gt;""</formula>
    </cfRule>
  </conditionalFormatting>
  <conditionalFormatting sqref="S34">
    <cfRule type="expression" dxfId="112" priority="752">
      <formula>T12&lt;&gt;""</formula>
    </cfRule>
  </conditionalFormatting>
  <conditionalFormatting sqref="S35">
    <cfRule type="expression" dxfId="111" priority="751">
      <formula>S35&lt;&gt;""</formula>
    </cfRule>
  </conditionalFormatting>
  <conditionalFormatting sqref="S36">
    <cfRule type="expression" dxfId="110" priority="750">
      <formula>T12&lt;&gt;""</formula>
    </cfRule>
  </conditionalFormatting>
  <conditionalFormatting sqref="S37">
    <cfRule type="expression" dxfId="109" priority="749">
      <formula>S37&lt;&gt;""</formula>
    </cfRule>
  </conditionalFormatting>
  <conditionalFormatting sqref="S38">
    <cfRule type="expression" dxfId="108" priority="748">
      <formula>T12&lt;&gt;""</formula>
    </cfRule>
  </conditionalFormatting>
  <conditionalFormatting sqref="S39">
    <cfRule type="expression" dxfId="107" priority="747">
      <formula>S39&lt;&gt;""</formula>
    </cfRule>
  </conditionalFormatting>
  <conditionalFormatting sqref="S40">
    <cfRule type="expression" dxfId="106" priority="746">
      <formula>T12&lt;&gt;""</formula>
    </cfRule>
  </conditionalFormatting>
  <conditionalFormatting sqref="S41">
    <cfRule type="expression" dxfId="105" priority="745">
      <formula>S41&lt;&gt;""</formula>
    </cfRule>
  </conditionalFormatting>
  <conditionalFormatting sqref="S42">
    <cfRule type="expression" dxfId="104" priority="742">
      <formula>T12&lt;&gt;""</formula>
    </cfRule>
  </conditionalFormatting>
  <conditionalFormatting sqref="S43">
    <cfRule type="expression" dxfId="103" priority="735">
      <formula>S43&lt;&gt;""</formula>
    </cfRule>
  </conditionalFormatting>
  <conditionalFormatting sqref="S44">
    <cfRule type="expression" dxfId="102" priority="741">
      <formula>T12&lt;&gt;""</formula>
    </cfRule>
  </conditionalFormatting>
  <conditionalFormatting sqref="S45">
    <cfRule type="expression" dxfId="101" priority="740">
      <formula>S45&lt;&gt;""</formula>
    </cfRule>
  </conditionalFormatting>
  <conditionalFormatting sqref="S46">
    <cfRule type="expression" dxfId="100" priority="739">
      <formula>T12&lt;&gt;""</formula>
    </cfRule>
  </conditionalFormatting>
  <conditionalFormatting sqref="S47">
    <cfRule type="expression" dxfId="99" priority="738">
      <formula>S47&lt;&gt;""</formula>
    </cfRule>
  </conditionalFormatting>
  <conditionalFormatting sqref="S48">
    <cfRule type="expression" dxfId="98" priority="737">
      <formula>T12&lt;&gt;""</formula>
    </cfRule>
  </conditionalFormatting>
  <conditionalFormatting sqref="S49">
    <cfRule type="expression" dxfId="97" priority="736">
      <formula>S49&lt;&gt;""</formula>
    </cfRule>
  </conditionalFormatting>
  <conditionalFormatting sqref="T52:V52">
    <cfRule type="expression" dxfId="96" priority="90">
      <formula>$T$52&lt;&gt;""</formula>
    </cfRule>
  </conditionalFormatting>
  <conditionalFormatting sqref="T11:W11">
    <cfRule type="expression" dxfId="95" priority="772">
      <formula>T12&lt;&gt;""</formula>
    </cfRule>
  </conditionalFormatting>
  <conditionalFormatting sqref="T13:W13">
    <cfRule type="expression" dxfId="94" priority="706">
      <formula>T12&lt;&gt;""</formula>
    </cfRule>
  </conditionalFormatting>
  <conditionalFormatting sqref="T14:W14">
    <cfRule type="expression" dxfId="93" priority="705">
      <formula>T12&lt;&gt;""</formula>
    </cfRule>
  </conditionalFormatting>
  <conditionalFormatting sqref="T15:W15">
    <cfRule type="expression" dxfId="92" priority="704">
      <formula>T12&lt;&gt;""</formula>
    </cfRule>
  </conditionalFormatting>
  <conditionalFormatting sqref="T16:W16">
    <cfRule type="expression" dxfId="91" priority="703">
      <formula>T12&lt;&gt;""</formula>
    </cfRule>
  </conditionalFormatting>
  <conditionalFormatting sqref="T17:W17">
    <cfRule type="expression" dxfId="90" priority="702">
      <formula>T12&lt;&gt;""</formula>
    </cfRule>
  </conditionalFormatting>
  <conditionalFormatting sqref="T19:W19">
    <cfRule type="expression" dxfId="89" priority="700">
      <formula>T12&lt;&gt;""</formula>
    </cfRule>
  </conditionalFormatting>
  <conditionalFormatting sqref="T20:W20">
    <cfRule type="expression" dxfId="88" priority="699">
      <formula>T12&lt;&gt;""</formula>
    </cfRule>
  </conditionalFormatting>
  <conditionalFormatting sqref="T21:W21">
    <cfRule type="expression" dxfId="87" priority="698">
      <formula>T12&lt;&gt;""</formula>
    </cfRule>
  </conditionalFormatting>
  <conditionalFormatting sqref="T22:W22">
    <cfRule type="expression" dxfId="86" priority="697">
      <formula>T12&lt;&gt;""</formula>
    </cfRule>
  </conditionalFormatting>
  <conditionalFormatting sqref="T23:W23">
    <cfRule type="expression" dxfId="85" priority="696">
      <formula>T12&lt;&gt;""</formula>
    </cfRule>
  </conditionalFormatting>
  <conditionalFormatting sqref="T24:W24">
    <cfRule type="expression" dxfId="84" priority="695">
      <formula>T12&lt;&gt;""</formula>
    </cfRule>
  </conditionalFormatting>
  <conditionalFormatting sqref="T26:W26">
    <cfRule type="expression" dxfId="83" priority="694">
      <formula>T12&lt;&gt;""</formula>
    </cfRule>
  </conditionalFormatting>
  <conditionalFormatting sqref="T28:W28">
    <cfRule type="expression" dxfId="82" priority="693">
      <formula>T12&lt;&gt;""</formula>
    </cfRule>
  </conditionalFormatting>
  <conditionalFormatting sqref="T28:W30">
    <cfRule type="expression" dxfId="81" priority="22">
      <formula>T28="No"</formula>
    </cfRule>
    <cfRule type="expression" dxfId="80" priority="21">
      <formula>T28="Yes"</formula>
    </cfRule>
  </conditionalFormatting>
  <conditionalFormatting sqref="T29:W29">
    <cfRule type="expression" dxfId="79" priority="692">
      <formula>T12&lt;&gt;""</formula>
    </cfRule>
  </conditionalFormatting>
  <conditionalFormatting sqref="T30:W30">
    <cfRule type="expression" dxfId="78" priority="691">
      <formula>T12&lt;&gt;""</formula>
    </cfRule>
  </conditionalFormatting>
  <conditionalFormatting sqref="T31:W31">
    <cfRule type="expression" dxfId="77" priority="690">
      <formula>T12&lt;&gt;""</formula>
    </cfRule>
  </conditionalFormatting>
  <conditionalFormatting sqref="T34:W34">
    <cfRule type="expression" dxfId="76" priority="689">
      <formula>T12&lt;&gt;""</formula>
    </cfRule>
  </conditionalFormatting>
  <conditionalFormatting sqref="T36:W36">
    <cfRule type="expression" dxfId="75" priority="688">
      <formula>T12&lt;&gt;""</formula>
    </cfRule>
  </conditionalFormatting>
  <conditionalFormatting sqref="T38:W38">
    <cfRule type="expression" dxfId="74" priority="687">
      <formula>T12&lt;&gt;""</formula>
    </cfRule>
  </conditionalFormatting>
  <conditionalFormatting sqref="T40:W40">
    <cfRule type="expression" dxfId="73" priority="686">
      <formula>T12&lt;&gt;""</formula>
    </cfRule>
  </conditionalFormatting>
  <conditionalFormatting sqref="T42:W42">
    <cfRule type="expression" dxfId="72" priority="684">
      <formula>T12&lt;&gt;""</formula>
    </cfRule>
  </conditionalFormatting>
  <conditionalFormatting sqref="T44:W44">
    <cfRule type="expression" dxfId="71" priority="683">
      <formula>T12&lt;&gt;""</formula>
    </cfRule>
  </conditionalFormatting>
  <conditionalFormatting sqref="T46:W46">
    <cfRule type="expression" dxfId="70" priority="682">
      <formula>T12&lt;&gt;""</formula>
    </cfRule>
  </conditionalFormatting>
  <conditionalFormatting sqref="T48:W48">
    <cfRule type="expression" dxfId="69" priority="681">
      <formula>T12&lt;&gt;""</formula>
    </cfRule>
  </conditionalFormatting>
  <conditionalFormatting sqref="X13:X17">
    <cfRule type="expression" dxfId="68" priority="525">
      <formula>X13&lt;&gt;""</formula>
    </cfRule>
  </conditionalFormatting>
  <conditionalFormatting sqref="X19">
    <cfRule type="expression" dxfId="67" priority="678">
      <formula>Y12&lt;&gt;""</formula>
    </cfRule>
  </conditionalFormatting>
  <conditionalFormatting sqref="X20">
    <cfRule type="expression" dxfId="66" priority="677">
      <formula>Y12&lt;&gt;""</formula>
    </cfRule>
  </conditionalFormatting>
  <conditionalFormatting sqref="X21">
    <cfRule type="expression" dxfId="65" priority="676">
      <formula>Y12&lt;&gt;""</formula>
    </cfRule>
  </conditionalFormatting>
  <conditionalFormatting sqref="X22">
    <cfRule type="expression" dxfId="64" priority="675">
      <formula>Y12&lt;&gt;""</formula>
    </cfRule>
  </conditionalFormatting>
  <conditionalFormatting sqref="X23">
    <cfRule type="expression" dxfId="63" priority="674">
      <formula>Y12&lt;&gt;""</formula>
    </cfRule>
  </conditionalFormatting>
  <conditionalFormatting sqref="X24">
    <cfRule type="expression" dxfId="62" priority="673">
      <formula>Y12&lt;&gt;""</formula>
    </cfRule>
  </conditionalFormatting>
  <conditionalFormatting sqref="X25">
    <cfRule type="expression" dxfId="61" priority="672">
      <formula>X25&lt;&gt;""</formula>
    </cfRule>
  </conditionalFormatting>
  <conditionalFormatting sqref="X26">
    <cfRule type="expression" dxfId="60" priority="671">
      <formula>Y12&lt;&gt;""</formula>
    </cfRule>
  </conditionalFormatting>
  <conditionalFormatting sqref="X27">
    <cfRule type="expression" dxfId="59" priority="669">
      <formula>X27&lt;&gt;""</formula>
    </cfRule>
  </conditionalFormatting>
  <conditionalFormatting sqref="X28">
    <cfRule type="expression" dxfId="58" priority="670">
      <formula>Y12&lt;&gt;""</formula>
    </cfRule>
  </conditionalFormatting>
  <conditionalFormatting sqref="X29">
    <cfRule type="expression" dxfId="57" priority="667">
      <formula>Y12&lt;&gt;""</formula>
    </cfRule>
  </conditionalFormatting>
  <conditionalFormatting sqref="X30">
    <cfRule type="expression" dxfId="56" priority="665">
      <formula>Y12&lt;&gt;""</formula>
    </cfRule>
  </conditionalFormatting>
  <conditionalFormatting sqref="X31">
    <cfRule type="expression" dxfId="55" priority="663">
      <formula>Y12&lt;&gt;""</formula>
    </cfRule>
  </conditionalFormatting>
  <conditionalFormatting sqref="X32">
    <cfRule type="expression" dxfId="54" priority="662">
      <formula>X32&lt;&gt;""</formula>
    </cfRule>
  </conditionalFormatting>
  <conditionalFormatting sqref="X34">
    <cfRule type="expression" dxfId="53" priority="661">
      <formula>Y12&lt;&gt;""</formula>
    </cfRule>
  </conditionalFormatting>
  <conditionalFormatting sqref="X35">
    <cfRule type="expression" dxfId="52" priority="660">
      <formula>X35&lt;&gt;""</formula>
    </cfRule>
  </conditionalFormatting>
  <conditionalFormatting sqref="X36">
    <cfRule type="expression" dxfId="51" priority="659">
      <formula>Y12&lt;&gt;""</formula>
    </cfRule>
  </conditionalFormatting>
  <conditionalFormatting sqref="X37">
    <cfRule type="expression" dxfId="50" priority="658">
      <formula>X37&lt;&gt;""</formula>
    </cfRule>
  </conditionalFormatting>
  <conditionalFormatting sqref="X38">
    <cfRule type="expression" dxfId="49" priority="657">
      <formula>Y12&lt;&gt;""</formula>
    </cfRule>
  </conditionalFormatting>
  <conditionalFormatting sqref="X39">
    <cfRule type="expression" dxfId="48" priority="656">
      <formula>X39&lt;&gt;""</formula>
    </cfRule>
  </conditionalFormatting>
  <conditionalFormatting sqref="X40">
    <cfRule type="expression" dxfId="47" priority="655">
      <formula>Y12&lt;&gt;""</formula>
    </cfRule>
  </conditionalFormatting>
  <conditionalFormatting sqref="X41">
    <cfRule type="expression" dxfId="46" priority="654">
      <formula>X41&lt;&gt;""</formula>
    </cfRule>
  </conditionalFormatting>
  <conditionalFormatting sqref="X42">
    <cfRule type="expression" dxfId="45" priority="651">
      <formula>Y12&lt;&gt;""</formula>
    </cfRule>
  </conditionalFormatting>
  <conditionalFormatting sqref="X43">
    <cfRule type="expression" dxfId="44" priority="644">
      <formula>X43&lt;&gt;""</formula>
    </cfRule>
  </conditionalFormatting>
  <conditionalFormatting sqref="X44">
    <cfRule type="expression" dxfId="43" priority="650">
      <formula>Y12&lt;&gt;""</formula>
    </cfRule>
  </conditionalFormatting>
  <conditionalFormatting sqref="X45">
    <cfRule type="expression" dxfId="42" priority="649">
      <formula>X45&lt;&gt;""</formula>
    </cfRule>
  </conditionalFormatting>
  <conditionalFormatting sqref="X46">
    <cfRule type="expression" dxfId="41" priority="648">
      <formula>Y12&lt;&gt;""</formula>
    </cfRule>
  </conditionalFormatting>
  <conditionalFormatting sqref="X47">
    <cfRule type="expression" dxfId="40" priority="647">
      <formula>X47&lt;&gt;""</formula>
    </cfRule>
  </conditionalFormatting>
  <conditionalFormatting sqref="X48">
    <cfRule type="expression" dxfId="39" priority="646">
      <formula>Y12&lt;&gt;""</formula>
    </cfRule>
  </conditionalFormatting>
  <conditionalFormatting sqref="X49">
    <cfRule type="expression" dxfId="38" priority="645">
      <formula>X49&lt;&gt;""</formula>
    </cfRule>
  </conditionalFormatting>
  <conditionalFormatting sqref="Y52:AA52">
    <cfRule type="expression" dxfId="37" priority="89">
      <formula>$Y$52&lt;&gt;""</formula>
    </cfRule>
  </conditionalFormatting>
  <conditionalFormatting sqref="Y11:AB11">
    <cfRule type="expression" dxfId="36" priority="527">
      <formula>Y12&lt;&gt;""</formula>
    </cfRule>
  </conditionalFormatting>
  <conditionalFormatting sqref="Y12:AB12">
    <cfRule type="expression" dxfId="35" priority="554">
      <formula>Y12&lt;&gt;""</formula>
    </cfRule>
  </conditionalFormatting>
  <conditionalFormatting sqref="Y13:AB13">
    <cfRule type="expression" dxfId="34" priority="553">
      <formula>Y12&lt;&gt;""</formula>
    </cfRule>
  </conditionalFormatting>
  <conditionalFormatting sqref="Y14:AB14">
    <cfRule type="expression" dxfId="33" priority="552">
      <formula>Y12&lt;&gt;""</formula>
    </cfRule>
  </conditionalFormatting>
  <conditionalFormatting sqref="Y15:AB15">
    <cfRule type="expression" dxfId="32" priority="551">
      <formula>Y12&lt;&gt;""</formula>
    </cfRule>
  </conditionalFormatting>
  <conditionalFormatting sqref="Y16:AB16">
    <cfRule type="expression" dxfId="31" priority="550">
      <formula>Y12&lt;&gt;""</formula>
    </cfRule>
  </conditionalFormatting>
  <conditionalFormatting sqref="Y17:AB17">
    <cfRule type="expression" dxfId="30" priority="549">
      <formula>Y12&lt;&gt;""</formula>
    </cfRule>
  </conditionalFormatting>
  <conditionalFormatting sqref="Y18:AB18">
    <cfRule type="expression" dxfId="29" priority="548">
      <formula>Y18&lt;&gt;""</formula>
    </cfRule>
  </conditionalFormatting>
  <conditionalFormatting sqref="Y19:AB19">
    <cfRule type="expression" dxfId="28" priority="547">
      <formula>Y12&lt;&gt;""</formula>
    </cfRule>
  </conditionalFormatting>
  <conditionalFormatting sqref="Y20:AB20">
    <cfRule type="expression" dxfId="27" priority="546">
      <formula>Y12&lt;&gt;""</formula>
    </cfRule>
  </conditionalFormatting>
  <conditionalFormatting sqref="Y21:AB21">
    <cfRule type="expression" dxfId="26" priority="545">
      <formula>Y12&lt;&gt;""</formula>
    </cfRule>
  </conditionalFormatting>
  <conditionalFormatting sqref="Y21:AB24 Y26:AB26 Y28:AB31 Y34:AB34 Y36:AB36 Y38:AB38 Y40:AB40 Y42:AB42 Y44:AB44 Y46:AB46 Y48:AB48">
    <cfRule type="expression" dxfId="25" priority="638">
      <formula>Y21="Not Met"</formula>
    </cfRule>
  </conditionalFormatting>
  <conditionalFormatting sqref="Y22:AB22">
    <cfRule type="expression" dxfId="24" priority="544">
      <formula>Y12&lt;&gt;""</formula>
    </cfRule>
  </conditionalFormatting>
  <conditionalFormatting sqref="Y23:AB23">
    <cfRule type="expression" dxfId="23" priority="543">
      <formula>Y12&lt;&gt;""</formula>
    </cfRule>
  </conditionalFormatting>
  <conditionalFormatting sqref="Y24:AB24">
    <cfRule type="expression" dxfId="22" priority="542">
      <formula>Y12&lt;&gt;""</formula>
    </cfRule>
  </conditionalFormatting>
  <conditionalFormatting sqref="Y25:AB25 Y32:AB32">
    <cfRule type="expression" dxfId="21" priority="641">
      <formula>Y24="Not Met"</formula>
    </cfRule>
    <cfRule type="expression" dxfId="20" priority="640">
      <formula>Y25&lt;&gt;""</formula>
    </cfRule>
  </conditionalFormatting>
  <conditionalFormatting sqref="Y26:AB26">
    <cfRule type="expression" dxfId="19" priority="541">
      <formula>Y12&lt;&gt;""</formula>
    </cfRule>
  </conditionalFormatting>
  <conditionalFormatting sqref="Y27:AB27">
    <cfRule type="expression" dxfId="18" priority="639">
      <formula>Y27&lt;&gt;""</formula>
    </cfRule>
  </conditionalFormatting>
  <conditionalFormatting sqref="Y28:AB28">
    <cfRule type="expression" dxfId="17" priority="540">
      <formula>Y12&lt;&gt;""</formula>
    </cfRule>
  </conditionalFormatting>
  <conditionalFormatting sqref="Y28:AB30">
    <cfRule type="expression" dxfId="16" priority="37">
      <formula>Y28="Yes"</formula>
    </cfRule>
    <cfRule type="expression" dxfId="15" priority="38">
      <formula>Y28="No"</formula>
    </cfRule>
  </conditionalFormatting>
  <conditionalFormatting sqref="Y28:AB31 Y21:AB24 Y26:AB26 Y34:AB34 Y36:AB36 Y38:AB38 Y40:AB40 Y42:AB42 Y44:AB44 Y46:AB46 Y48:AB48">
    <cfRule type="expression" dxfId="14" priority="637">
      <formula>Y21="Met"</formula>
    </cfRule>
  </conditionalFormatting>
  <conditionalFormatting sqref="Y29:AB29">
    <cfRule type="expression" dxfId="13" priority="539">
      <formula>Y12&lt;&gt;""</formula>
    </cfRule>
  </conditionalFormatting>
  <conditionalFormatting sqref="Y30:AB30">
    <cfRule type="expression" dxfId="12" priority="538">
      <formula>Y12&lt;&gt;""</formula>
    </cfRule>
  </conditionalFormatting>
  <conditionalFormatting sqref="Y31:AB31">
    <cfRule type="expression" dxfId="11" priority="537">
      <formula>Y12&lt;&gt;""</formula>
    </cfRule>
  </conditionalFormatting>
  <conditionalFormatting sqref="Y33:AB33">
    <cfRule type="expression" dxfId="10" priority="636">
      <formula>Y$393&lt;&gt;""</formula>
    </cfRule>
  </conditionalFormatting>
  <conditionalFormatting sqref="Y34:AB34">
    <cfRule type="expression" dxfId="9" priority="536">
      <formula>Y12&lt;&gt;""</formula>
    </cfRule>
  </conditionalFormatting>
  <conditionalFormatting sqref="Y35:AB35 Y37:AB37 Y39:AB39 Y41:AB41 Y43:AB43 Y45:AB45 Y47:AB47 Y49:AB49 Y27:AB27">
    <cfRule type="expression" dxfId="8" priority="643">
      <formula>Y26="Not Met"</formula>
    </cfRule>
  </conditionalFormatting>
  <conditionalFormatting sqref="Y35:AB35 Y37:AB37 Y39:AB39 Y41:AB41 Y43:AB43 Y45:AB45 Y47:AB47 Y49:AB49">
    <cfRule type="expression" dxfId="7" priority="642">
      <formula>Y35&lt;&gt;""</formula>
    </cfRule>
  </conditionalFormatting>
  <conditionalFormatting sqref="Y36:AB36">
    <cfRule type="expression" dxfId="6" priority="535">
      <formula>Y12&lt;&gt;""</formula>
    </cfRule>
  </conditionalFormatting>
  <conditionalFormatting sqref="Y38:AB38">
    <cfRule type="expression" dxfId="5" priority="534">
      <formula>Y12&lt;&gt;""</formula>
    </cfRule>
  </conditionalFormatting>
  <conditionalFormatting sqref="Y40:AB40">
    <cfRule type="expression" dxfId="4" priority="533">
      <formula>Y12&lt;&gt;""</formula>
    </cfRule>
  </conditionalFormatting>
  <conditionalFormatting sqref="Y42:AB42">
    <cfRule type="expression" dxfId="3" priority="531">
      <formula>Y12&lt;&gt;""</formula>
    </cfRule>
  </conditionalFormatting>
  <conditionalFormatting sqref="Y44:AB44">
    <cfRule type="expression" dxfId="2" priority="530">
      <formula>Y12&lt;&gt;""</formula>
    </cfRule>
  </conditionalFormatting>
  <conditionalFormatting sqref="Y46:AB46">
    <cfRule type="expression" dxfId="1" priority="529">
      <formula>Y12&lt;&gt;""</formula>
    </cfRule>
  </conditionalFormatting>
  <conditionalFormatting sqref="Y48:AB48">
    <cfRule type="expression" dxfId="0" priority="528">
      <formula>Y12&lt;&gt;""</formula>
    </cfRule>
  </conditionalFormatting>
  <dataValidations count="2">
    <dataValidation type="list" allowBlank="1" showInputMessage="1" showErrorMessage="1" sqref="F19:M20 O19:R20 T19:W20 Y19:AB20 F63:M64 F107:M108 F116:H116 I116 J116:K116 L116:M116 F117:H117 I117 J117:K117 L117:M117 I118 J118:K118 L118:M118 F118:H118 F74:H74 I74 J74:K74 L74:M74 Y30 Z30 AA30 AB30 T30 U30 V30 W30 O30 P30 Q30 R30 F30:H30 I30 J30:K30 L30:M30 F73:H73 I73 J73:K73 L73:M73 F72:H72 I72 J72:K72 L72:M72 Y28 Z28 AA28 AB28 Y29 Z29 AA29 AB29 T28 U28 V28 W28 T29 U29 V29 W29 O28 P28 Q28 R28 O29 P29 Q29 R29 F28:H28 I28 J28:K28 L28:M28 F29:H29 I29 J29:K29 L29:M29" xr:uid="{00000000-0002-0000-0200-000009000000}">
      <formula1>"Yes, No"</formula1>
    </dataValidation>
    <dataValidation type="list" allowBlank="1" showInputMessage="1" showErrorMessage="1" sqref="T26:W26 T46:W46 T21:W24 T44:W44 T38:W38 T42:W42 T36:W36 F136:M136 F132:M132 F122:M122 T48:W48 T34:W34 T31:W31 F48:M48 F84:M84 F130:M130 F70:M70 F36:M36 F21:M24 F42:M42 F38:M38 F44:M44 F46:M46 F26:M26 F40:M40 F31:M31 F34:M34 F78:M78 F126:M126 F75:M75 O21:R24 O26:R26 O31:R31 O34:R34 O48:R48 O36:R36 O42:R42 O38:R38 O44:R44 O46:R46 O40:R40 T40:W40 Y26:AB26 Y46:AB46 Y21:AB24 Y44:AB44 Y38:AB38 Y42:AB42 Y36:AB36 F128:M128 F134:M134 F119:M119 Y48:AB48 Y34:AB34 Y31:AB31 Y40:AB40 F92:M92 F124:M124 F114:M114 F109:M112 F80:M80 F65:M68 F86:M86 F82:M82 F88:M88 F90:M90" xr:uid="{00000000-0002-0000-0200-000000000000}">
      <formula1>"Met, Not Met"</formula1>
    </dataValidation>
  </dataValidations>
  <pageMargins left="0.7" right="0.7" top="0.75" bottom="0.75" header="0.3" footer="0.3"/>
  <pageSetup scale="51" orientation="portrait" r:id="rId1"/>
  <rowBreaks count="1" manualBreakCount="1">
    <brk id="9" max="2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406CD-2393-4F13-85B0-0BF0C3F8538B}">
  <sheetPr>
    <tabColor theme="0" tint="-0.249977111117893"/>
  </sheetPr>
  <dimension ref="A1:B111"/>
  <sheetViews>
    <sheetView workbookViewId="0">
      <selection activeCell="A2" sqref="A2"/>
    </sheetView>
  </sheetViews>
  <sheetFormatPr baseColWidth="10" defaultColWidth="8.83203125" defaultRowHeight="14" x14ac:dyDescent="0.15"/>
  <cols>
    <col min="1" max="1" width="128.1640625" customWidth="1"/>
    <col min="2" max="2" width="17.5" customWidth="1"/>
  </cols>
  <sheetData>
    <row r="1" spans="1:2" ht="61.5" customHeight="1" x14ac:dyDescent="0.15">
      <c r="A1" s="315" t="s">
        <v>830</v>
      </c>
    </row>
    <row r="2" spans="1:2" ht="115.5" customHeight="1" x14ac:dyDescent="0.15">
      <c r="A2" s="309" t="s">
        <v>829</v>
      </c>
    </row>
    <row r="3" spans="1:2" ht="45.75" customHeight="1" x14ac:dyDescent="0.15">
      <c r="A3" s="310" t="s">
        <v>802</v>
      </c>
    </row>
    <row r="4" spans="1:2" ht="45" customHeight="1" x14ac:dyDescent="0.15">
      <c r="A4" s="316" t="s">
        <v>803</v>
      </c>
      <c r="B4" s="320" t="s">
        <v>892</v>
      </c>
    </row>
    <row r="5" spans="1:2" s="2" customFormat="1" ht="20.25" customHeight="1" x14ac:dyDescent="0.15">
      <c r="A5" s="311" t="s">
        <v>804</v>
      </c>
    </row>
    <row r="6" spans="1:2" s="2" customFormat="1" ht="20.25" customHeight="1" x14ac:dyDescent="0.15">
      <c r="A6" s="313" t="s">
        <v>891</v>
      </c>
    </row>
    <row r="7" spans="1:2" s="2" customFormat="1" ht="20.25" customHeight="1" x14ac:dyDescent="0.15">
      <c r="A7" s="313" t="s">
        <v>805</v>
      </c>
    </row>
    <row r="8" spans="1:2" s="2" customFormat="1" ht="20.25" customHeight="1" x14ac:dyDescent="0.15">
      <c r="A8" s="313" t="s">
        <v>806</v>
      </c>
    </row>
    <row r="9" spans="1:2" s="2" customFormat="1" ht="20.25" customHeight="1" x14ac:dyDescent="0.15">
      <c r="A9" s="314" t="s">
        <v>807</v>
      </c>
    </row>
    <row r="10" spans="1:2" s="2" customFormat="1" ht="20.25" customHeight="1" x14ac:dyDescent="0.15">
      <c r="A10" s="314" t="s">
        <v>880</v>
      </c>
    </row>
    <row r="13" spans="1:2" ht="45" customHeight="1" x14ac:dyDescent="0.15">
      <c r="A13" s="316" t="s">
        <v>814</v>
      </c>
      <c r="B13" s="320" t="s">
        <v>892</v>
      </c>
    </row>
    <row r="14" spans="1:2" s="2" customFormat="1" ht="20.25" customHeight="1" x14ac:dyDescent="0.15">
      <c r="A14" s="314" t="s">
        <v>815</v>
      </c>
    </row>
    <row r="15" spans="1:2" s="2" customFormat="1" ht="20.25" customHeight="1" x14ac:dyDescent="0.15">
      <c r="A15" s="314" t="s">
        <v>881</v>
      </c>
    </row>
    <row r="16" spans="1:2" s="2" customFormat="1" ht="20.25" customHeight="1" x14ac:dyDescent="0.15">
      <c r="A16" s="314" t="s">
        <v>816</v>
      </c>
    </row>
    <row r="17" spans="1:2" s="2" customFormat="1" ht="20.25" customHeight="1" x14ac:dyDescent="0.15">
      <c r="A17" s="314" t="s">
        <v>817</v>
      </c>
    </row>
    <row r="18" spans="1:2" s="2" customFormat="1" ht="20.25" customHeight="1" x14ac:dyDescent="0.15">
      <c r="A18" s="314" t="s">
        <v>818</v>
      </c>
    </row>
    <row r="19" spans="1:2" s="2" customFormat="1" ht="20.25" customHeight="1" x14ac:dyDescent="0.15">
      <c r="A19" s="314" t="s">
        <v>819</v>
      </c>
    </row>
    <row r="22" spans="1:2" ht="45" customHeight="1" x14ac:dyDescent="0.15">
      <c r="A22" s="316" t="s">
        <v>808</v>
      </c>
      <c r="B22" s="320" t="s">
        <v>892</v>
      </c>
    </row>
    <row r="23" spans="1:2" s="2" customFormat="1" ht="20.25" customHeight="1" x14ac:dyDescent="0.15">
      <c r="A23" s="311" t="s">
        <v>812</v>
      </c>
    </row>
    <row r="24" spans="1:2" s="2" customFormat="1" ht="20.25" customHeight="1" x14ac:dyDescent="0.15">
      <c r="A24" s="311" t="s">
        <v>813</v>
      </c>
    </row>
    <row r="25" spans="1:2" s="2" customFormat="1" ht="20.25" customHeight="1" x14ac:dyDescent="0.15">
      <c r="A25" s="311" t="s">
        <v>890</v>
      </c>
    </row>
    <row r="26" spans="1:2" s="2" customFormat="1" ht="20.25" customHeight="1" x14ac:dyDescent="0.15">
      <c r="A26" s="311" t="s">
        <v>809</v>
      </c>
    </row>
    <row r="27" spans="1:2" s="2" customFormat="1" ht="20.25" customHeight="1" x14ac:dyDescent="0.15">
      <c r="A27" s="311" t="s">
        <v>810</v>
      </c>
    </row>
    <row r="28" spans="1:2" s="2" customFormat="1" ht="20.25" customHeight="1" x14ac:dyDescent="0.15">
      <c r="A28" s="311" t="s">
        <v>811</v>
      </c>
    </row>
    <row r="31" spans="1:2" ht="45" customHeight="1" x14ac:dyDescent="0.15">
      <c r="A31" s="316" t="s">
        <v>820</v>
      </c>
      <c r="B31" s="320" t="s">
        <v>892</v>
      </c>
    </row>
    <row r="32" spans="1:2" s="2" customFormat="1" ht="20.25" customHeight="1" x14ac:dyDescent="0.15">
      <c r="A32" s="311" t="s">
        <v>821</v>
      </c>
    </row>
    <row r="33" spans="1:2" s="2" customFormat="1" ht="20.25" customHeight="1" x14ac:dyDescent="0.15">
      <c r="A33" s="311" t="s">
        <v>822</v>
      </c>
    </row>
    <row r="34" spans="1:2" s="2" customFormat="1" ht="20.25" customHeight="1" x14ac:dyDescent="0.15">
      <c r="A34" s="311" t="s">
        <v>823</v>
      </c>
    </row>
    <row r="35" spans="1:2" s="2" customFormat="1" ht="20.25" customHeight="1" x14ac:dyDescent="0.15">
      <c r="A35" s="311" t="s">
        <v>824</v>
      </c>
    </row>
    <row r="36" spans="1:2" s="2" customFormat="1" ht="20.25" customHeight="1" x14ac:dyDescent="0.15">
      <c r="A36" s="311" t="s">
        <v>825</v>
      </c>
    </row>
    <row r="37" spans="1:2" s="2" customFormat="1" ht="20.25" customHeight="1" x14ac:dyDescent="0.15">
      <c r="A37" s="311" t="s">
        <v>826</v>
      </c>
    </row>
    <row r="38" spans="1:2" s="2" customFormat="1" ht="20.25" customHeight="1" x14ac:dyDescent="0.15">
      <c r="A38" s="311" t="s">
        <v>827</v>
      </c>
    </row>
    <row r="39" spans="1:2" s="2" customFormat="1" ht="20.25" customHeight="1" x14ac:dyDescent="0.15">
      <c r="A39" s="311" t="s">
        <v>828</v>
      </c>
    </row>
    <row r="43" spans="1:2" s="319" customFormat="1" ht="45.75" customHeight="1" x14ac:dyDescent="0.25">
      <c r="A43" s="318" t="s">
        <v>831</v>
      </c>
    </row>
    <row r="44" spans="1:2" ht="45" customHeight="1" x14ac:dyDescent="0.15">
      <c r="A44" s="317" t="s">
        <v>803</v>
      </c>
      <c r="B44" s="320" t="s">
        <v>892</v>
      </c>
    </row>
    <row r="45" spans="1:2" s="2" customFormat="1" ht="20.25" customHeight="1" x14ac:dyDescent="0.15">
      <c r="A45" s="311" t="s">
        <v>889</v>
      </c>
    </row>
    <row r="46" spans="1:2" s="2" customFormat="1" ht="20.25" customHeight="1" x14ac:dyDescent="0.15">
      <c r="A46" s="311" t="s">
        <v>832</v>
      </c>
    </row>
    <row r="47" spans="1:2" s="2" customFormat="1" ht="20.25" customHeight="1" x14ac:dyDescent="0.15">
      <c r="A47" s="311" t="s">
        <v>888</v>
      </c>
    </row>
    <row r="48" spans="1:2" s="2" customFormat="1" ht="20.25" customHeight="1" x14ac:dyDescent="0.15">
      <c r="A48" s="311" t="s">
        <v>887</v>
      </c>
    </row>
    <row r="49" spans="1:2" s="2" customFormat="1" ht="20.25" customHeight="1" x14ac:dyDescent="0.15">
      <c r="A49" s="311" t="s">
        <v>886</v>
      </c>
    </row>
    <row r="50" spans="1:2" s="2" customFormat="1" ht="20.25" customHeight="1" x14ac:dyDescent="0.15">
      <c r="A50" s="311" t="s">
        <v>885</v>
      </c>
    </row>
    <row r="51" spans="1:2" s="2" customFormat="1" ht="20.25" customHeight="1" x14ac:dyDescent="0.15">
      <c r="A51" s="311" t="s">
        <v>833</v>
      </c>
    </row>
    <row r="54" spans="1:2" ht="45" customHeight="1" x14ac:dyDescent="0.15">
      <c r="A54" s="317" t="s">
        <v>814</v>
      </c>
      <c r="B54" s="320" t="s">
        <v>892</v>
      </c>
    </row>
    <row r="55" spans="1:2" s="303" customFormat="1" ht="30.75" customHeight="1" x14ac:dyDescent="0.15">
      <c r="A55" s="312" t="s">
        <v>834</v>
      </c>
    </row>
    <row r="56" spans="1:2" s="2" customFormat="1" ht="20.25" customHeight="1" x14ac:dyDescent="0.15">
      <c r="A56" s="311" t="s">
        <v>835</v>
      </c>
    </row>
    <row r="57" spans="1:2" s="2" customFormat="1" ht="20.25" customHeight="1" x14ac:dyDescent="0.15">
      <c r="A57" s="311" t="s">
        <v>836</v>
      </c>
    </row>
    <row r="58" spans="1:2" s="2" customFormat="1" ht="20.25" customHeight="1" x14ac:dyDescent="0.15">
      <c r="A58" s="311" t="s">
        <v>837</v>
      </c>
    </row>
    <row r="59" spans="1:2" s="2" customFormat="1" ht="20.25" customHeight="1" x14ac:dyDescent="0.15">
      <c r="A59" s="311" t="s">
        <v>838</v>
      </c>
    </row>
    <row r="62" spans="1:2" ht="45" customHeight="1" x14ac:dyDescent="0.15">
      <c r="A62" s="317" t="s">
        <v>808</v>
      </c>
      <c r="B62" s="320" t="s">
        <v>892</v>
      </c>
    </row>
    <row r="63" spans="1:2" s="303" customFormat="1" ht="30.75" customHeight="1" x14ac:dyDescent="0.15">
      <c r="A63" s="312" t="s">
        <v>839</v>
      </c>
    </row>
    <row r="64" spans="1:2" s="303" customFormat="1" ht="30.75" customHeight="1" x14ac:dyDescent="0.15">
      <c r="A64" s="312" t="s">
        <v>840</v>
      </c>
    </row>
    <row r="65" spans="1:2" s="303" customFormat="1" ht="30.75" customHeight="1" x14ac:dyDescent="0.15">
      <c r="A65" s="312" t="s">
        <v>841</v>
      </c>
    </row>
    <row r="66" spans="1:2" s="2" customFormat="1" ht="20.25" customHeight="1" x14ac:dyDescent="0.15">
      <c r="A66" s="311" t="s">
        <v>842</v>
      </c>
    </row>
    <row r="67" spans="1:2" s="2" customFormat="1" ht="20.25" customHeight="1" x14ac:dyDescent="0.15">
      <c r="A67" s="311" t="s">
        <v>843</v>
      </c>
    </row>
    <row r="68" spans="1:2" s="303" customFormat="1" ht="30.75" customHeight="1" x14ac:dyDescent="0.15">
      <c r="A68" s="312" t="s">
        <v>844</v>
      </c>
    </row>
    <row r="69" spans="1:2" s="2" customFormat="1" ht="20.25" customHeight="1" x14ac:dyDescent="0.15">
      <c r="A69" s="311" t="s">
        <v>845</v>
      </c>
    </row>
    <row r="70" spans="1:2" s="2" customFormat="1" ht="20.25" customHeight="1" x14ac:dyDescent="0.15">
      <c r="A70" s="311" t="s">
        <v>846</v>
      </c>
    </row>
    <row r="71" spans="1:2" s="2" customFormat="1" ht="20.25" customHeight="1" x14ac:dyDescent="0.15">
      <c r="A71" s="311" t="s">
        <v>847</v>
      </c>
    </row>
    <row r="72" spans="1:2" s="2" customFormat="1" ht="20.25" customHeight="1" x14ac:dyDescent="0.15">
      <c r="A72" s="311" t="s">
        <v>848</v>
      </c>
    </row>
    <row r="73" spans="1:2" s="2" customFormat="1" ht="20.25" customHeight="1" x14ac:dyDescent="0.15">
      <c r="A73" s="311" t="s">
        <v>849</v>
      </c>
    </row>
    <row r="74" spans="1:2" s="2" customFormat="1" ht="20.25" customHeight="1" x14ac:dyDescent="0.15">
      <c r="A74" s="311" t="s">
        <v>850</v>
      </c>
    </row>
    <row r="75" spans="1:2" s="2" customFormat="1" ht="20.25" customHeight="1" x14ac:dyDescent="0.15">
      <c r="A75" s="311" t="s">
        <v>851</v>
      </c>
    </row>
    <row r="76" spans="1:2" s="2" customFormat="1" ht="20.25" customHeight="1" x14ac:dyDescent="0.15">
      <c r="A76" s="311" t="s">
        <v>852</v>
      </c>
    </row>
    <row r="77" spans="1:2" s="2" customFormat="1" ht="20.25" customHeight="1" x14ac:dyDescent="0.15">
      <c r="A77" s="311" t="s">
        <v>853</v>
      </c>
    </row>
    <row r="80" spans="1:2" ht="45" customHeight="1" x14ac:dyDescent="0.15">
      <c r="A80" s="317" t="s">
        <v>820</v>
      </c>
      <c r="B80" s="320" t="s">
        <v>892</v>
      </c>
    </row>
    <row r="81" spans="1:2" s="2" customFormat="1" ht="20.25" customHeight="1" x14ac:dyDescent="0.15">
      <c r="A81" s="311" t="s">
        <v>854</v>
      </c>
    </row>
    <row r="82" spans="1:2" s="2" customFormat="1" ht="20.25" customHeight="1" x14ac:dyDescent="0.15">
      <c r="A82" s="311" t="s">
        <v>855</v>
      </c>
    </row>
    <row r="83" spans="1:2" s="2" customFormat="1" ht="20.25" customHeight="1" x14ac:dyDescent="0.15">
      <c r="A83" s="311" t="s">
        <v>856</v>
      </c>
    </row>
    <row r="84" spans="1:2" s="2" customFormat="1" ht="20.25" customHeight="1" x14ac:dyDescent="0.15">
      <c r="A84" s="311" t="s">
        <v>857</v>
      </c>
    </row>
    <row r="85" spans="1:2" s="2" customFormat="1" ht="20.25" customHeight="1" x14ac:dyDescent="0.15">
      <c r="A85" s="311" t="s">
        <v>858</v>
      </c>
    </row>
    <row r="86" spans="1:2" s="303" customFormat="1" ht="30.75" customHeight="1" x14ac:dyDescent="0.15">
      <c r="A86" s="312" t="s">
        <v>859</v>
      </c>
    </row>
    <row r="87" spans="1:2" s="303" customFormat="1" ht="30.75" customHeight="1" x14ac:dyDescent="0.15">
      <c r="A87" s="312" t="s">
        <v>860</v>
      </c>
    </row>
    <row r="88" spans="1:2" s="2" customFormat="1" ht="20.25" customHeight="1" x14ac:dyDescent="0.15">
      <c r="A88" s="311" t="s">
        <v>861</v>
      </c>
    </row>
    <row r="89" spans="1:2" s="2" customFormat="1" ht="20.25" customHeight="1" x14ac:dyDescent="0.15">
      <c r="A89" s="311" t="s">
        <v>862</v>
      </c>
    </row>
    <row r="90" spans="1:2" s="2" customFormat="1" ht="20.25" customHeight="1" x14ac:dyDescent="0.15">
      <c r="A90" s="311" t="s">
        <v>863</v>
      </c>
    </row>
    <row r="93" spans="1:2" ht="45" customHeight="1" x14ac:dyDescent="0.15">
      <c r="A93" s="317" t="s">
        <v>864</v>
      </c>
      <c r="B93" s="320" t="s">
        <v>892</v>
      </c>
    </row>
    <row r="94" spans="1:2" s="2" customFormat="1" ht="20.25" customHeight="1" x14ac:dyDescent="0.15">
      <c r="A94" s="311" t="s">
        <v>865</v>
      </c>
    </row>
    <row r="95" spans="1:2" s="2" customFormat="1" ht="20.25" customHeight="1" x14ac:dyDescent="0.15">
      <c r="A95" s="311" t="s">
        <v>866</v>
      </c>
    </row>
    <row r="96" spans="1:2" s="2" customFormat="1" ht="20.25" customHeight="1" x14ac:dyDescent="0.15">
      <c r="A96" s="311" t="s">
        <v>867</v>
      </c>
    </row>
    <row r="97" spans="1:1" s="2" customFormat="1" ht="20.25" customHeight="1" x14ac:dyDescent="0.15">
      <c r="A97" s="311" t="s">
        <v>868</v>
      </c>
    </row>
    <row r="98" spans="1:1" s="2" customFormat="1" ht="20.25" customHeight="1" x14ac:dyDescent="0.15">
      <c r="A98" s="311" t="s">
        <v>869</v>
      </c>
    </row>
    <row r="99" spans="1:1" s="2" customFormat="1" ht="20.25" customHeight="1" x14ac:dyDescent="0.15">
      <c r="A99" s="311" t="s">
        <v>870</v>
      </c>
    </row>
    <row r="100" spans="1:1" s="2" customFormat="1" ht="20.25" customHeight="1" x14ac:dyDescent="0.15">
      <c r="A100" s="311" t="s">
        <v>871</v>
      </c>
    </row>
    <row r="101" spans="1:1" s="2" customFormat="1" ht="20.25" customHeight="1" x14ac:dyDescent="0.15">
      <c r="A101" s="311" t="s">
        <v>872</v>
      </c>
    </row>
    <row r="102" spans="1:1" s="303" customFormat="1" ht="30.75" customHeight="1" x14ac:dyDescent="0.15">
      <c r="A102" s="312" t="s">
        <v>873</v>
      </c>
    </row>
    <row r="103" spans="1:1" s="2" customFormat="1" ht="20.25" customHeight="1" x14ac:dyDescent="0.15">
      <c r="A103" s="311" t="s">
        <v>874</v>
      </c>
    </row>
    <row r="104" spans="1:1" s="2" customFormat="1" ht="20.25" customHeight="1" x14ac:dyDescent="0.15">
      <c r="A104" s="311" t="s">
        <v>875</v>
      </c>
    </row>
    <row r="105" spans="1:1" s="2" customFormat="1" ht="20.25" customHeight="1" x14ac:dyDescent="0.15">
      <c r="A105" s="311" t="s">
        <v>876</v>
      </c>
    </row>
    <row r="106" spans="1:1" s="2" customFormat="1" ht="20.25" customHeight="1" x14ac:dyDescent="0.15">
      <c r="A106" s="311" t="s">
        <v>877</v>
      </c>
    </row>
    <row r="107" spans="1:1" s="2" customFormat="1" ht="20.25" customHeight="1" x14ac:dyDescent="0.15">
      <c r="A107" s="311" t="s">
        <v>882</v>
      </c>
    </row>
    <row r="108" spans="1:1" s="2" customFormat="1" ht="20.25" customHeight="1" x14ac:dyDescent="0.15">
      <c r="A108" s="311" t="s">
        <v>878</v>
      </c>
    </row>
    <row r="109" spans="1:1" s="303" customFormat="1" ht="30.75" customHeight="1" x14ac:dyDescent="0.15">
      <c r="A109" s="312" t="s">
        <v>883</v>
      </c>
    </row>
    <row r="110" spans="1:1" s="303" customFormat="1" ht="30.75" customHeight="1" x14ac:dyDescent="0.15">
      <c r="A110" s="312" t="s">
        <v>884</v>
      </c>
    </row>
    <row r="111" spans="1:1" s="303" customFormat="1" ht="30.75" customHeight="1" x14ac:dyDescent="0.15">
      <c r="A111" s="312" t="s">
        <v>879</v>
      </c>
    </row>
  </sheetData>
  <sheetProtection algorithmName="SHA-512" hashValue="JtOGRrd8rabFR4iJ1xPLLwHKZb3iOYyJsFaqiZHcyS5g2KtR0JXqPYEeyrQ7tKFg7lPALGupHNZnf+uByoASuA==" saltValue="/deRymLLgrEb2ZIv3e2R7Q==" spinCount="100000" sheet="1" objects="1" scenarios="1"/>
  <hyperlinks>
    <hyperlink ref="B4" location="a.Strengths" display="Hyperlink to Summary of Findings tab" xr:uid="{69144301-2734-4629-BA89-18811BF229BC}"/>
    <hyperlink ref="B13" location="a.Strengths" display="Hyperlink to Summary of Findings tab" xr:uid="{AFE8B528-97AD-431A-9F86-74538535A736}"/>
    <hyperlink ref="B22" location="a.Strengths" display="Hyperlink to Summary of Findings tab" xr:uid="{DD77766F-BBA8-4BFD-BFAF-961C38DADF6D}"/>
    <hyperlink ref="B31" location="a.Strengths" display="Hyperlink to Summary of Findings tab" xr:uid="{3FAD7A66-58BD-49A3-B772-3B251586A562}"/>
    <hyperlink ref="B44" location="a.Recommendations" display="Hyperlink to Summary of Findings tab" xr:uid="{4276DB75-93F6-4792-A9FB-E213722BE40A}"/>
    <hyperlink ref="B54" location="a.Recommendations" display="Hyperlink to Summary of Findings tab" xr:uid="{B25BEE48-B9A3-4040-9625-A2988190DC1E}"/>
    <hyperlink ref="B62" location="a.Recommendations" display="Hyperlink to Summary of Findings tab" xr:uid="{7BB8E200-C219-4AD2-8765-E8114D6A4617}"/>
    <hyperlink ref="B80" location="a.Recommendations" display="Hyperlink to Summary of Findings tab" xr:uid="{52368BB6-58EF-4912-98A2-F052F7F23101}"/>
    <hyperlink ref="B93" location="a.Recommendations" display="Hyperlink to Summary of Findings tab" xr:uid="{79347A32-439A-43D2-B0A2-F950C2D6CA14}"/>
  </hyperlink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5" tint="0.39997558519241921"/>
    <pageSetUpPr fitToPage="1"/>
  </sheetPr>
  <dimension ref="B2:M55"/>
  <sheetViews>
    <sheetView showGridLines="0" zoomScaleNormal="100" workbookViewId="0">
      <selection activeCell="B7" sqref="B6:K20"/>
    </sheetView>
  </sheetViews>
  <sheetFormatPr baseColWidth="10" defaultColWidth="9.1640625" defaultRowHeight="14" x14ac:dyDescent="0.15"/>
  <cols>
    <col min="1" max="1" width="3.6640625" customWidth="1"/>
    <col min="2" max="2" width="15.1640625" customWidth="1"/>
    <col min="3" max="8" width="15.6640625" customWidth="1"/>
    <col min="9" max="9" width="16.5" customWidth="1"/>
    <col min="10" max="10" width="17" customWidth="1"/>
    <col min="11" max="11" width="15.6640625" customWidth="1"/>
  </cols>
  <sheetData>
    <row r="2" spans="2:13" ht="100.5" customHeight="1" x14ac:dyDescent="0.15">
      <c r="B2" s="38"/>
      <c r="C2" s="39"/>
      <c r="D2" s="39" t="s">
        <v>389</v>
      </c>
      <c r="E2" s="39"/>
      <c r="F2" s="39"/>
      <c r="G2" s="39"/>
      <c r="H2" s="39"/>
      <c r="I2" s="39"/>
      <c r="J2" s="39"/>
      <c r="K2" s="40"/>
      <c r="M2" s="21"/>
    </row>
    <row r="3" spans="2:13" ht="18" x14ac:dyDescent="0.2">
      <c r="B3" s="10" t="e">
        <f>#REF!</f>
        <v>#REF!</v>
      </c>
      <c r="C3" s="897" t="e">
        <f>#REF!</f>
        <v>#REF!</v>
      </c>
      <c r="D3" s="897"/>
      <c r="E3" s="897"/>
      <c r="F3" s="897"/>
      <c r="G3" s="897"/>
      <c r="H3" s="897"/>
      <c r="I3" s="897"/>
      <c r="J3" s="897"/>
      <c r="K3" s="898"/>
    </row>
    <row r="4" spans="2:13" ht="34.5" customHeight="1" x14ac:dyDescent="0.15">
      <c r="B4" s="899" t="s">
        <v>18</v>
      </c>
      <c r="C4" s="900"/>
      <c r="D4" s="900"/>
      <c r="E4" s="900"/>
      <c r="F4" s="900"/>
      <c r="G4" s="900"/>
      <c r="H4" s="900"/>
      <c r="I4" s="900"/>
      <c r="J4" s="900"/>
      <c r="K4" s="901"/>
    </row>
    <row r="6" spans="2:13" s="135" customFormat="1" ht="42" customHeight="1" x14ac:dyDescent="0.2">
      <c r="B6" s="894" t="s">
        <v>395</v>
      </c>
      <c r="C6" s="895"/>
      <c r="D6" s="895"/>
      <c r="E6" s="895"/>
      <c r="F6" s="895"/>
      <c r="G6" s="895"/>
      <c r="H6" s="895"/>
      <c r="I6" s="895"/>
      <c r="J6" s="895"/>
      <c r="K6" s="896"/>
    </row>
    <row r="7" spans="2:13" ht="18.75" customHeight="1" x14ac:dyDescent="0.15">
      <c r="B7" s="910" t="s">
        <v>390</v>
      </c>
      <c r="C7" s="911"/>
      <c r="D7" s="911"/>
      <c r="E7" s="911"/>
      <c r="F7" s="911"/>
      <c r="G7" s="911"/>
      <c r="H7" s="911"/>
      <c r="I7" s="911"/>
      <c r="J7" s="911"/>
      <c r="K7" s="912"/>
    </row>
    <row r="8" spans="2:13" ht="22.5" customHeight="1" x14ac:dyDescent="0.15">
      <c r="B8" s="910"/>
      <c r="C8" s="911"/>
      <c r="D8" s="911"/>
      <c r="E8" s="911"/>
      <c r="F8" s="911"/>
      <c r="G8" s="911"/>
      <c r="H8" s="911"/>
      <c r="I8" s="911"/>
      <c r="J8" s="911"/>
      <c r="K8" s="912"/>
    </row>
    <row r="9" spans="2:13" x14ac:dyDescent="0.15">
      <c r="B9" s="910"/>
      <c r="C9" s="911"/>
      <c r="D9" s="911"/>
      <c r="E9" s="911"/>
      <c r="F9" s="911"/>
      <c r="G9" s="911"/>
      <c r="H9" s="911"/>
      <c r="I9" s="911"/>
      <c r="J9" s="911"/>
      <c r="K9" s="912"/>
    </row>
    <row r="10" spans="2:13" ht="39" customHeight="1" x14ac:dyDescent="0.15">
      <c r="B10" s="910"/>
      <c r="C10" s="911"/>
      <c r="D10" s="911"/>
      <c r="E10" s="911"/>
      <c r="F10" s="911"/>
      <c r="G10" s="911"/>
      <c r="H10" s="911"/>
      <c r="I10" s="911"/>
      <c r="J10" s="911"/>
      <c r="K10" s="912"/>
    </row>
    <row r="11" spans="2:13" x14ac:dyDescent="0.15">
      <c r="B11" s="910"/>
      <c r="C11" s="911"/>
      <c r="D11" s="911"/>
      <c r="E11" s="911"/>
      <c r="F11" s="911"/>
      <c r="G11" s="911"/>
      <c r="H11" s="911"/>
      <c r="I11" s="911"/>
      <c r="J11" s="911"/>
      <c r="K11" s="912"/>
    </row>
    <row r="12" spans="2:13" ht="18.75" customHeight="1" x14ac:dyDescent="0.15">
      <c r="B12" s="910"/>
      <c r="C12" s="911"/>
      <c r="D12" s="911"/>
      <c r="E12" s="911"/>
      <c r="F12" s="911"/>
      <c r="G12" s="911"/>
      <c r="H12" s="911"/>
      <c r="I12" s="911"/>
      <c r="J12" s="911"/>
      <c r="K12" s="912"/>
    </row>
    <row r="13" spans="2:13" x14ac:dyDescent="0.15">
      <c r="B13" s="910"/>
      <c r="C13" s="911"/>
      <c r="D13" s="911"/>
      <c r="E13" s="911"/>
      <c r="F13" s="911"/>
      <c r="G13" s="911"/>
      <c r="H13" s="911"/>
      <c r="I13" s="911"/>
      <c r="J13" s="911"/>
      <c r="K13" s="912"/>
    </row>
    <row r="14" spans="2:13" ht="39" customHeight="1" x14ac:dyDescent="0.15">
      <c r="B14" s="910"/>
      <c r="C14" s="911"/>
      <c r="D14" s="911"/>
      <c r="E14" s="911"/>
      <c r="F14" s="911"/>
      <c r="G14" s="911"/>
      <c r="H14" s="911"/>
      <c r="I14" s="911"/>
      <c r="J14" s="911"/>
      <c r="K14" s="912"/>
    </row>
    <row r="15" spans="2:13" x14ac:dyDescent="0.15">
      <c r="B15" s="910"/>
      <c r="C15" s="911"/>
      <c r="D15" s="911"/>
      <c r="E15" s="911"/>
      <c r="F15" s="911"/>
      <c r="G15" s="911"/>
      <c r="H15" s="911"/>
      <c r="I15" s="911"/>
      <c r="J15" s="911"/>
      <c r="K15" s="912"/>
    </row>
    <row r="16" spans="2:13" ht="18.75" customHeight="1" x14ac:dyDescent="0.15">
      <c r="B16" s="910"/>
      <c r="C16" s="911"/>
      <c r="D16" s="911"/>
      <c r="E16" s="911"/>
      <c r="F16" s="911"/>
      <c r="G16" s="911"/>
      <c r="H16" s="911"/>
      <c r="I16" s="911"/>
      <c r="J16" s="911"/>
      <c r="K16" s="912"/>
    </row>
    <row r="17" spans="2:12" ht="21" customHeight="1" x14ac:dyDescent="0.15">
      <c r="B17" s="910"/>
      <c r="C17" s="911"/>
      <c r="D17" s="911"/>
      <c r="E17" s="911"/>
      <c r="F17" s="911"/>
      <c r="G17" s="911"/>
      <c r="H17" s="911"/>
      <c r="I17" s="911"/>
      <c r="J17" s="911"/>
      <c r="K17" s="912"/>
    </row>
    <row r="18" spans="2:12" ht="32.25" customHeight="1" x14ac:dyDescent="0.15">
      <c r="B18" s="910"/>
      <c r="C18" s="911"/>
      <c r="D18" s="911"/>
      <c r="E18" s="911"/>
      <c r="F18" s="911"/>
      <c r="G18" s="911"/>
      <c r="H18" s="911"/>
      <c r="I18" s="911"/>
      <c r="J18" s="911"/>
      <c r="K18" s="912"/>
      <c r="L18" s="136"/>
    </row>
    <row r="19" spans="2:12" x14ac:dyDescent="0.15">
      <c r="B19" s="910"/>
      <c r="C19" s="911"/>
      <c r="D19" s="911"/>
      <c r="E19" s="911"/>
      <c r="F19" s="911"/>
      <c r="G19" s="911"/>
      <c r="H19" s="911"/>
      <c r="I19" s="911"/>
      <c r="J19" s="911"/>
      <c r="K19" s="912"/>
    </row>
    <row r="20" spans="2:12" ht="18.75" customHeight="1" x14ac:dyDescent="0.15">
      <c r="B20" s="910"/>
      <c r="C20" s="911"/>
      <c r="D20" s="911"/>
      <c r="E20" s="911"/>
      <c r="F20" s="911"/>
      <c r="G20" s="911"/>
      <c r="H20" s="911"/>
      <c r="I20" s="911"/>
      <c r="J20" s="911"/>
      <c r="K20" s="912"/>
    </row>
    <row r="21" spans="2:12" x14ac:dyDescent="0.15">
      <c r="B21" s="137"/>
      <c r="C21" s="138"/>
      <c r="D21" s="138"/>
      <c r="E21" s="138"/>
      <c r="F21" s="138"/>
      <c r="G21" s="138"/>
      <c r="H21" s="138"/>
      <c r="I21" s="138"/>
      <c r="J21" s="138"/>
      <c r="K21" s="139"/>
    </row>
    <row r="23" spans="2:12" ht="10.5" customHeight="1" x14ac:dyDescent="0.15">
      <c r="B23" s="140"/>
      <c r="C23" s="141"/>
      <c r="D23" s="141"/>
      <c r="E23" s="141"/>
      <c r="F23" s="141"/>
      <c r="G23" s="141"/>
      <c r="H23" s="141"/>
      <c r="I23" s="141"/>
      <c r="J23" s="141"/>
      <c r="K23" s="142"/>
    </row>
    <row r="24" spans="2:12" ht="18.75" customHeight="1" x14ac:dyDescent="0.15">
      <c r="B24" s="905" t="s">
        <v>398</v>
      </c>
      <c r="C24" s="906"/>
      <c r="D24" s="906"/>
      <c r="E24" s="906"/>
      <c r="F24" s="906"/>
      <c r="G24" s="906"/>
      <c r="H24" s="906"/>
      <c r="I24" s="906"/>
      <c r="J24" s="906"/>
      <c r="K24" s="907"/>
    </row>
    <row r="25" spans="2:12" ht="5.25" customHeight="1" x14ac:dyDescent="0.15">
      <c r="B25" s="143"/>
      <c r="C25" s="144"/>
      <c r="D25" s="144"/>
      <c r="E25" s="144"/>
      <c r="F25" s="144"/>
      <c r="G25" s="144"/>
      <c r="H25" s="144"/>
      <c r="I25" s="144"/>
      <c r="J25" s="144"/>
      <c r="K25" s="145"/>
    </row>
    <row r="26" spans="2:12" ht="235.5" customHeight="1" x14ac:dyDescent="0.15">
      <c r="B26" s="902" t="s">
        <v>391</v>
      </c>
      <c r="C26" s="903"/>
      <c r="D26" s="903"/>
      <c r="E26" s="903"/>
      <c r="F26" s="903"/>
      <c r="G26" s="903"/>
      <c r="H26" s="903"/>
      <c r="I26" s="903"/>
      <c r="J26" s="903"/>
      <c r="K26" s="904"/>
    </row>
    <row r="27" spans="2:12" ht="6" customHeight="1" x14ac:dyDescent="0.15">
      <c r="B27" s="143"/>
      <c r="C27" s="144"/>
      <c r="D27" s="144"/>
      <c r="E27" s="144"/>
      <c r="F27" s="144"/>
      <c r="G27" s="144"/>
      <c r="H27" s="144"/>
      <c r="I27" s="144"/>
      <c r="J27" s="144"/>
      <c r="K27" s="145"/>
    </row>
    <row r="28" spans="2:12" ht="75.75" customHeight="1" x14ac:dyDescent="0.15">
      <c r="B28" s="902" t="s">
        <v>392</v>
      </c>
      <c r="C28" s="908"/>
      <c r="D28" s="908"/>
      <c r="E28" s="908"/>
      <c r="F28" s="908"/>
      <c r="G28" s="908"/>
      <c r="H28" s="908"/>
      <c r="I28" s="908"/>
      <c r="J28" s="908"/>
      <c r="K28" s="909"/>
    </row>
    <row r="29" spans="2:12" ht="16.5" customHeight="1" x14ac:dyDescent="0.15">
      <c r="B29" s="143"/>
      <c r="C29" s="144"/>
      <c r="D29" s="144"/>
      <c r="E29" s="144"/>
      <c r="F29" s="144"/>
      <c r="G29" s="144"/>
      <c r="H29" s="144"/>
      <c r="I29" s="144"/>
      <c r="J29" s="144"/>
      <c r="K29" s="145"/>
    </row>
    <row r="30" spans="2:12" ht="32.25" customHeight="1" x14ac:dyDescent="0.2">
      <c r="B30" s="913" t="s">
        <v>393</v>
      </c>
      <c r="C30" s="914"/>
      <c r="D30" s="914"/>
      <c r="E30" s="914"/>
      <c r="F30" s="914"/>
      <c r="G30" s="914"/>
      <c r="H30" s="914"/>
      <c r="I30" s="914"/>
      <c r="J30" s="914"/>
      <c r="K30" s="915"/>
    </row>
    <row r="31" spans="2:12" ht="3.75" customHeight="1" x14ac:dyDescent="0.15">
      <c r="B31" s="143"/>
      <c r="C31" s="144"/>
      <c r="D31" s="144"/>
      <c r="E31" s="144"/>
      <c r="F31" s="144"/>
      <c r="G31" s="144"/>
      <c r="H31" s="144"/>
      <c r="I31" s="144"/>
      <c r="J31" s="144"/>
      <c r="K31" s="145"/>
    </row>
    <row r="32" spans="2:12" ht="122.25" customHeight="1" x14ac:dyDescent="0.15">
      <c r="B32" s="916" t="s">
        <v>394</v>
      </c>
      <c r="C32" s="917"/>
      <c r="D32" s="917"/>
      <c r="E32" s="917"/>
      <c r="F32" s="917"/>
      <c r="G32" s="917"/>
      <c r="H32" s="917"/>
      <c r="I32" s="917"/>
      <c r="J32" s="917"/>
      <c r="K32" s="918"/>
    </row>
    <row r="34" spans="2:12" s="135" customFormat="1" ht="42" customHeight="1" x14ac:dyDescent="0.2">
      <c r="B34" s="894" t="s">
        <v>396</v>
      </c>
      <c r="C34" s="895"/>
      <c r="D34" s="895"/>
      <c r="E34" s="895"/>
      <c r="F34" s="895"/>
      <c r="G34" s="895"/>
      <c r="H34" s="895"/>
      <c r="I34" s="895"/>
      <c r="J34" s="895"/>
      <c r="K34" s="896"/>
    </row>
    <row r="35" spans="2:12" ht="18.75" customHeight="1" x14ac:dyDescent="0.15">
      <c r="B35" s="919" t="s">
        <v>397</v>
      </c>
      <c r="C35" s="911"/>
      <c r="D35" s="911"/>
      <c r="E35" s="911"/>
      <c r="F35" s="911"/>
      <c r="G35" s="911"/>
      <c r="H35" s="911"/>
      <c r="I35" s="911"/>
      <c r="J35" s="911"/>
      <c r="K35" s="912"/>
    </row>
    <row r="36" spans="2:12" ht="22.5" customHeight="1" x14ac:dyDescent="0.15">
      <c r="B36" s="910"/>
      <c r="C36" s="911"/>
      <c r="D36" s="911"/>
      <c r="E36" s="911"/>
      <c r="F36" s="911"/>
      <c r="G36" s="911"/>
      <c r="H36" s="911"/>
      <c r="I36" s="911"/>
      <c r="J36" s="911"/>
      <c r="K36" s="912"/>
    </row>
    <row r="37" spans="2:12" x14ac:dyDescent="0.15">
      <c r="B37" s="910"/>
      <c r="C37" s="911"/>
      <c r="D37" s="911"/>
      <c r="E37" s="911"/>
      <c r="F37" s="911"/>
      <c r="G37" s="911"/>
      <c r="H37" s="911"/>
      <c r="I37" s="911"/>
      <c r="J37" s="911"/>
      <c r="K37" s="912"/>
    </row>
    <row r="38" spans="2:12" ht="39" customHeight="1" x14ac:dyDescent="0.15">
      <c r="B38" s="910"/>
      <c r="C38" s="911"/>
      <c r="D38" s="911"/>
      <c r="E38" s="911"/>
      <c r="F38" s="911"/>
      <c r="G38" s="911"/>
      <c r="H38" s="911"/>
      <c r="I38" s="911"/>
      <c r="J38" s="911"/>
      <c r="K38" s="912"/>
    </row>
    <row r="39" spans="2:12" x14ac:dyDescent="0.15">
      <c r="B39" s="910"/>
      <c r="C39" s="911"/>
      <c r="D39" s="911"/>
      <c r="E39" s="911"/>
      <c r="F39" s="911"/>
      <c r="G39" s="911"/>
      <c r="H39" s="911"/>
      <c r="I39" s="911"/>
      <c r="J39" s="911"/>
      <c r="K39" s="912"/>
    </row>
    <row r="40" spans="2:12" ht="18.75" customHeight="1" x14ac:dyDescent="0.15">
      <c r="B40" s="910"/>
      <c r="C40" s="911"/>
      <c r="D40" s="911"/>
      <c r="E40" s="911"/>
      <c r="F40" s="911"/>
      <c r="G40" s="911"/>
      <c r="H40" s="911"/>
      <c r="I40" s="911"/>
      <c r="J40" s="911"/>
      <c r="K40" s="912"/>
    </row>
    <row r="41" spans="2:12" x14ac:dyDescent="0.15">
      <c r="B41" s="910"/>
      <c r="C41" s="911"/>
      <c r="D41" s="911"/>
      <c r="E41" s="911"/>
      <c r="F41" s="911"/>
      <c r="G41" s="911"/>
      <c r="H41" s="911"/>
      <c r="I41" s="911"/>
      <c r="J41" s="911"/>
      <c r="K41" s="912"/>
    </row>
    <row r="42" spans="2:12" ht="39" customHeight="1" x14ac:dyDescent="0.15">
      <c r="B42" s="910"/>
      <c r="C42" s="911"/>
      <c r="D42" s="911"/>
      <c r="E42" s="911"/>
      <c r="F42" s="911"/>
      <c r="G42" s="911"/>
      <c r="H42" s="911"/>
      <c r="I42" s="911"/>
      <c r="J42" s="911"/>
      <c r="K42" s="912"/>
    </row>
    <row r="43" spans="2:12" ht="42" customHeight="1" x14ac:dyDescent="0.15">
      <c r="B43" s="910"/>
      <c r="C43" s="911"/>
      <c r="D43" s="911"/>
      <c r="E43" s="911"/>
      <c r="F43" s="911"/>
      <c r="G43" s="911"/>
      <c r="H43" s="911"/>
      <c r="I43" s="911"/>
      <c r="J43" s="911"/>
      <c r="K43" s="912"/>
    </row>
    <row r="44" spans="2:12" ht="18.75" customHeight="1" x14ac:dyDescent="0.15">
      <c r="B44" s="910"/>
      <c r="C44" s="911"/>
      <c r="D44" s="911"/>
      <c r="E44" s="911"/>
      <c r="F44" s="911"/>
      <c r="G44" s="911"/>
      <c r="H44" s="911"/>
      <c r="I44" s="911"/>
      <c r="J44" s="911"/>
      <c r="K44" s="912"/>
    </row>
    <row r="45" spans="2:12" ht="21" customHeight="1" x14ac:dyDescent="0.15">
      <c r="B45" s="910"/>
      <c r="C45" s="911"/>
      <c r="D45" s="911"/>
      <c r="E45" s="911"/>
      <c r="F45" s="911"/>
      <c r="G45" s="911"/>
      <c r="H45" s="911"/>
      <c r="I45" s="911"/>
      <c r="J45" s="911"/>
      <c r="K45" s="912"/>
    </row>
    <row r="46" spans="2:12" ht="32.25" customHeight="1" x14ac:dyDescent="0.15">
      <c r="B46" s="910"/>
      <c r="C46" s="911"/>
      <c r="D46" s="911"/>
      <c r="E46" s="911"/>
      <c r="F46" s="911"/>
      <c r="G46" s="911"/>
      <c r="H46" s="911"/>
      <c r="I46" s="911"/>
      <c r="J46" s="911"/>
      <c r="K46" s="912"/>
      <c r="L46" s="136"/>
    </row>
    <row r="47" spans="2:12" ht="34.5" customHeight="1" x14ac:dyDescent="0.15">
      <c r="B47" s="910"/>
      <c r="C47" s="911"/>
      <c r="D47" s="911"/>
      <c r="E47" s="911"/>
      <c r="F47" s="911"/>
      <c r="G47" s="911"/>
      <c r="H47" s="911"/>
      <c r="I47" s="911"/>
      <c r="J47" s="911"/>
      <c r="K47" s="912"/>
    </row>
    <row r="48" spans="2:12" ht="18.75" customHeight="1" x14ac:dyDescent="0.15">
      <c r="B48" s="910"/>
      <c r="C48" s="911"/>
      <c r="D48" s="911"/>
      <c r="E48" s="911"/>
      <c r="F48" s="911"/>
      <c r="G48" s="911"/>
      <c r="H48" s="911"/>
      <c r="I48" s="911"/>
      <c r="J48" s="911"/>
      <c r="K48" s="912"/>
    </row>
    <row r="49" spans="2:11" x14ac:dyDescent="0.15">
      <c r="B49" s="137"/>
      <c r="C49" s="138"/>
      <c r="D49" s="138"/>
      <c r="E49" s="138"/>
      <c r="F49" s="138"/>
      <c r="G49" s="138"/>
      <c r="H49" s="138"/>
      <c r="I49" s="138"/>
      <c r="J49" s="138"/>
      <c r="K49" s="139"/>
    </row>
    <row r="51" spans="2:11" ht="10.5" customHeight="1" x14ac:dyDescent="0.15">
      <c r="B51" s="140"/>
      <c r="C51" s="141"/>
      <c r="D51" s="141"/>
      <c r="E51" s="141"/>
      <c r="F51" s="141"/>
      <c r="G51" s="141"/>
      <c r="H51" s="141"/>
      <c r="I51" s="141"/>
      <c r="J51" s="141"/>
      <c r="K51" s="142"/>
    </row>
    <row r="52" spans="2:11" ht="18.75" customHeight="1" x14ac:dyDescent="0.15">
      <c r="B52" s="905" t="s">
        <v>399</v>
      </c>
      <c r="C52" s="906"/>
      <c r="D52" s="906"/>
      <c r="E52" s="906"/>
      <c r="F52" s="906"/>
      <c r="G52" s="906"/>
      <c r="H52" s="906"/>
      <c r="I52" s="906"/>
      <c r="J52" s="906"/>
      <c r="K52" s="907"/>
    </row>
    <row r="53" spans="2:11" ht="5.25" customHeight="1" x14ac:dyDescent="0.15">
      <c r="B53" s="143"/>
      <c r="C53" s="144"/>
      <c r="D53" s="144"/>
      <c r="E53" s="144"/>
      <c r="F53" s="144"/>
      <c r="G53" s="144"/>
      <c r="H53" s="144"/>
      <c r="I53" s="144"/>
      <c r="J53" s="144"/>
      <c r="K53" s="145"/>
    </row>
    <row r="54" spans="2:11" ht="207" customHeight="1" x14ac:dyDescent="0.15">
      <c r="B54" s="902" t="s">
        <v>400</v>
      </c>
      <c r="C54" s="903"/>
      <c r="D54" s="903"/>
      <c r="E54" s="903"/>
      <c r="F54" s="903"/>
      <c r="G54" s="903"/>
      <c r="H54" s="903"/>
      <c r="I54" s="903"/>
      <c r="J54" s="903"/>
      <c r="K54" s="904"/>
    </row>
    <row r="55" spans="2:11" ht="6" customHeight="1" x14ac:dyDescent="0.15">
      <c r="B55" s="143"/>
      <c r="C55" s="144"/>
      <c r="D55" s="144"/>
      <c r="E55" s="144"/>
      <c r="F55" s="144"/>
      <c r="G55" s="144"/>
      <c r="H55" s="144"/>
      <c r="I55" s="144"/>
      <c r="J55" s="144"/>
      <c r="K55" s="145"/>
    </row>
  </sheetData>
  <sheetProtection algorithmName="SHA-512" hashValue="PmgRyFGxABSH0yhsuHsKfwW3uVbhs3jCf7+NvsbaglC8EuXoK4B2GDaB1SmbYM20iVIbt2iEJjvxEqi++hplDw==" saltValue="eKBmSqf+3uf3rWo63JK4fw==" spinCount="100000" sheet="1" objects="1" scenarios="1"/>
  <mergeCells count="13">
    <mergeCell ref="B6:K6"/>
    <mergeCell ref="C3:K3"/>
    <mergeCell ref="B4:K4"/>
    <mergeCell ref="B54:K54"/>
    <mergeCell ref="B24:K24"/>
    <mergeCell ref="B26:K26"/>
    <mergeCell ref="B28:K28"/>
    <mergeCell ref="B7:K20"/>
    <mergeCell ref="B30:K30"/>
    <mergeCell ref="B32:K32"/>
    <mergeCell ref="B34:K34"/>
    <mergeCell ref="B35:K48"/>
    <mergeCell ref="B52:K52"/>
  </mergeCells>
  <pageMargins left="0.45" right="0.45" top="0.5" bottom="0.5" header="0.3" footer="0.3"/>
  <pageSetup scale="69" fitToHeight="0" orientation="landscape" r:id="rId1"/>
  <rowBreaks count="1" manualBreakCount="1">
    <brk id="8" max="11"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21</vt:i4>
      </vt:variant>
    </vt:vector>
  </HeadingPairs>
  <TitlesOfParts>
    <vt:vector size="28" baseType="lpstr">
      <vt:lpstr>EA-LoR App</vt:lpstr>
      <vt:lpstr>Cover Page</vt:lpstr>
      <vt:lpstr>SV Findings</vt:lpstr>
      <vt:lpstr>Summary of Findings - Main</vt:lpstr>
      <vt:lpstr>Satellite(s)</vt:lpstr>
      <vt:lpstr>Strengths &amp; Recommendations</vt:lpstr>
      <vt:lpstr>SV Scripts</vt:lpstr>
      <vt:lpstr>'Strengths &amp; Recommendations'!_Hlk213838863</vt:lpstr>
      <vt:lpstr>a.Recommendations</vt:lpstr>
      <vt:lpstr>aSuggestedRecommend</vt:lpstr>
      <vt:lpstr>aSuggestedStrengths</vt:lpstr>
      <vt:lpstr>'EA-LoR App'!EASAdmin</vt:lpstr>
      <vt:lpstr>'EA-LoR App'!EASDegree</vt:lpstr>
      <vt:lpstr>'EA-LoR App'!EASInst</vt:lpstr>
      <vt:lpstr>'EA-LoR App'!EASStatus</vt:lpstr>
      <vt:lpstr>'EA-LoR App'!EASType</vt:lpstr>
      <vt:lpstr>MetNADNE</vt:lpstr>
      <vt:lpstr>'Cover Page'!Print_Area</vt:lpstr>
      <vt:lpstr>'EA-LoR App'!Print_Area</vt:lpstr>
      <vt:lpstr>'Satellite(s)'!Print_Area</vt:lpstr>
      <vt:lpstr>'Summary of Findings - Main'!Print_Area</vt:lpstr>
      <vt:lpstr>'SV Findings'!Print_Area</vt:lpstr>
      <vt:lpstr>'SV Findings'!Print_Titles</vt:lpstr>
      <vt:lpstr>'EA-LoR App'!Readers</vt:lpstr>
      <vt:lpstr>Sponsorship</vt:lpstr>
      <vt:lpstr>Standards</vt:lpstr>
      <vt:lpstr>'EA-LoR App'!YNApp</vt:lpstr>
      <vt:lpstr>'EA-LoR App'!YNNApp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wwg</dc:creator>
  <cp:lastModifiedBy>Jennifer Anderson Warwick</cp:lastModifiedBy>
  <cp:lastPrinted>2025-08-12T14:14:56Z</cp:lastPrinted>
  <dcterms:created xsi:type="dcterms:W3CDTF">2015-08-24T14:47:43Z</dcterms:created>
  <dcterms:modified xsi:type="dcterms:W3CDTF">2026-05-16T19:16:10Z</dcterms:modified>
</cp:coreProperties>
</file>